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_My Documents\ANT MODELS\_МОИТЕ МОДЕЛИ\я ХОНОРАР СМЕТКА\ХОНОРАР СМЕТКА 2026 в евро\"/>
    </mc:Choice>
  </mc:AlternateContent>
  <xr:revisionPtr revIDLastSave="0" documentId="13_ncr:1_{8088D007-796B-4C36-B867-6491C1A13B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Хонорар СМЕТКА" sheetId="1" r:id="rId1"/>
    <sheet name="Sheet1" sheetId="9" state="hidden" r:id="rId2"/>
    <sheet name="Сметка за АН" sheetId="8" r:id="rId3"/>
    <sheet name="Доп_разходи" sheetId="7" r:id="rId4"/>
    <sheet name="Коефициенти" sheetId="4" state="hidden" r:id="rId5"/>
    <sheet name="Проектни решения и Други" sheetId="6" state="hidden" r:id="rId6"/>
    <sheet name="DataHon" sheetId="2" state="hidden" r:id="rId7"/>
  </sheets>
  <calcPr calcId="191029"/>
</workbook>
</file>

<file path=xl/calcChain.xml><?xml version="1.0" encoding="utf-8"?>
<calcChain xmlns="http://schemas.openxmlformats.org/spreadsheetml/2006/main">
  <c r="B10" i="7" l="1"/>
  <c r="B9" i="7"/>
  <c r="B8" i="7"/>
  <c r="B7" i="7"/>
  <c r="H24" i="8"/>
  <c r="H23" i="8"/>
  <c r="H22" i="8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L4" i="9"/>
  <c r="J4" i="9"/>
  <c r="H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E79" i="1"/>
  <c r="F79" i="1" s="1"/>
  <c r="F81" i="1" s="1"/>
  <c r="E72" i="1"/>
  <c r="E71" i="1"/>
  <c r="E70" i="1"/>
  <c r="E89" i="1"/>
  <c r="E88" i="1"/>
  <c r="E87" i="1"/>
  <c r="E22" i="1"/>
  <c r="E19" i="1"/>
  <c r="A21" i="1"/>
  <c r="A20" i="1"/>
  <c r="D22" i="1"/>
  <c r="E21" i="1"/>
  <c r="B21" i="1"/>
  <c r="E20" i="1"/>
  <c r="B20" i="1"/>
  <c r="B19" i="1"/>
  <c r="F18" i="1"/>
  <c r="H9" i="7" l="1"/>
  <c r="I9" i="7" s="1"/>
  <c r="H7" i="7"/>
  <c r="I7" i="7" s="1"/>
  <c r="H8" i="7"/>
  <c r="I8" i="7" s="1"/>
  <c r="F16" i="7"/>
  <c r="F10" i="7"/>
  <c r="I6" i="7" l="1"/>
  <c r="H25" i="8" s="1"/>
  <c r="I25" i="8" s="1"/>
  <c r="I21" i="7"/>
  <c r="I20" i="7"/>
  <c r="I19" i="7"/>
  <c r="F52" i="8"/>
  <c r="B52" i="8"/>
  <c r="E49" i="8"/>
  <c r="C45" i="8"/>
  <c r="C44" i="8"/>
  <c r="C43" i="8"/>
  <c r="G41" i="8"/>
  <c r="D41" i="8"/>
  <c r="F39" i="8"/>
  <c r="F37" i="8"/>
  <c r="F31" i="8"/>
  <c r="I24" i="8"/>
  <c r="I23" i="8"/>
  <c r="I22" i="8"/>
  <c r="F15" i="8"/>
  <c r="F13" i="8"/>
  <c r="I26" i="7" l="1"/>
  <c r="I25" i="7"/>
  <c r="I24" i="7"/>
  <c r="I23" i="7"/>
  <c r="I22" i="7"/>
  <c r="I18" i="7"/>
  <c r="H10" i="7"/>
  <c r="H17" i="7"/>
  <c r="I17" i="7" s="1"/>
  <c r="H16" i="7"/>
  <c r="I16" i="7" s="1"/>
  <c r="I27" i="7" s="1"/>
  <c r="I10" i="7" l="1"/>
  <c r="H26" i="8" s="1"/>
  <c r="I26" i="8" s="1"/>
  <c r="H27" i="8"/>
  <c r="I27" i="8" s="1"/>
  <c r="E17" i="1"/>
  <c r="F23" i="1" s="1"/>
  <c r="F30" i="1" s="1"/>
  <c r="D32" i="1" l="1"/>
  <c r="D30" i="1"/>
  <c r="I28" i="8"/>
  <c r="F47" i="8" s="1"/>
  <c r="F89" i="1"/>
  <c r="F88" i="1"/>
  <c r="F87" i="1"/>
  <c r="C49" i="1"/>
  <c r="D49" i="1" s="1"/>
  <c r="E49" i="1" s="1"/>
  <c r="F72" i="1"/>
  <c r="F71" i="1"/>
  <c r="F70" i="1"/>
  <c r="C64" i="1"/>
  <c r="D64" i="1" s="1"/>
  <c r="C45" i="1"/>
  <c r="D45" i="1" s="1"/>
  <c r="E45" i="1" s="1"/>
  <c r="C46" i="1"/>
  <c r="D46" i="1" s="1"/>
  <c r="E46" i="1" s="1"/>
  <c r="C47" i="1"/>
  <c r="D47" i="1" s="1"/>
  <c r="E47" i="1" s="1"/>
  <c r="C48" i="1"/>
  <c r="D48" i="1" s="1"/>
  <c r="E48" i="1" s="1"/>
  <c r="C41" i="1"/>
  <c r="D41" i="1" s="1"/>
  <c r="E41" i="1" s="1"/>
  <c r="C42" i="1"/>
  <c r="D42" i="1" s="1"/>
  <c r="E42" i="1" s="1"/>
  <c r="C43" i="1"/>
  <c r="D43" i="1" s="1"/>
  <c r="E43" i="1" s="1"/>
  <c r="C44" i="1"/>
  <c r="D44" i="1" s="1"/>
  <c r="E44" i="1" s="1"/>
  <c r="C50" i="1"/>
  <c r="D50" i="1" s="1"/>
  <c r="E50" i="1" s="1"/>
  <c r="C40" i="1"/>
  <c r="D40" i="1" s="1"/>
  <c r="F74" i="1" l="1"/>
  <c r="E64" i="1"/>
  <c r="F91" i="1"/>
  <c r="E40" i="1"/>
  <c r="B107" i="1" l="1"/>
  <c r="D58" i="1" l="1"/>
  <c r="D56" i="1"/>
  <c r="D57" i="1"/>
  <c r="D59" i="1" l="1"/>
  <c r="C93" i="1"/>
  <c r="F31" i="1" l="1"/>
  <c r="D33" i="1" l="1"/>
  <c r="D31" i="1"/>
  <c r="F34" i="1" l="1"/>
  <c r="F36" i="1" s="1"/>
  <c r="F49" i="1" s="1"/>
  <c r="A49" i="1" s="1"/>
  <c r="F45" i="1" l="1"/>
  <c r="A45" i="1" s="1"/>
  <c r="F44" i="1"/>
  <c r="F46" i="1"/>
  <c r="A46" i="1" s="1"/>
  <c r="F50" i="1"/>
  <c r="A50" i="1" s="1"/>
  <c r="F40" i="1"/>
  <c r="A40" i="1" s="1"/>
  <c r="F42" i="1"/>
  <c r="F47" i="1"/>
  <c r="A47" i="1" s="1"/>
  <c r="F48" i="1"/>
  <c r="A48" i="1" s="1"/>
  <c r="F41" i="1"/>
  <c r="F43" i="1"/>
  <c r="A41" i="1" l="1"/>
  <c r="A42" i="1" s="1"/>
  <c r="A43" i="1" s="1"/>
  <c r="A44" i="1" s="1"/>
  <c r="F51" i="1"/>
  <c r="F53" i="1" s="1"/>
  <c r="F64" i="1" s="1"/>
  <c r="F57" i="1" l="1"/>
  <c r="F58" i="1"/>
  <c r="F56" i="1"/>
  <c r="F93" i="1" s="1"/>
  <c r="F94" i="1" s="1"/>
  <c r="F59" i="1" l="1"/>
  <c r="F95" i="1" l="1"/>
  <c r="F96" i="1" l="1"/>
</calcChain>
</file>

<file path=xl/sharedStrings.xml><?xml version="1.0" encoding="utf-8"?>
<sst xmlns="http://schemas.openxmlformats.org/spreadsheetml/2006/main" count="447" uniqueCount="305">
  <si>
    <t>ТАБЛИЦА</t>
  </si>
  <si>
    <t xml:space="preserve">ЗА ОПРЕДЕЛЯНЕ НА ПРОЕКТАНТСКИЯ ХОНОРАР, </t>
  </si>
  <si>
    <t>ОБЩО</t>
  </si>
  <si>
    <t>%</t>
  </si>
  <si>
    <t>№</t>
  </si>
  <si>
    <t>Изготвяне на ПБЗ  / ПОИС / :</t>
  </si>
  <si>
    <t xml:space="preserve">Общо:  </t>
  </si>
  <si>
    <t xml:space="preserve">Консултации, експертизи и други подобни: </t>
  </si>
  <si>
    <t>Цена Е</t>
  </si>
  <si>
    <t>ОБЩО:</t>
  </si>
  <si>
    <t>Жилищни сгради</t>
  </si>
  <si>
    <t>Складови сгради и съоръжения без кран</t>
  </si>
  <si>
    <t>Складови сгради и съоръжения с кран</t>
  </si>
  <si>
    <t>Производствени сгради без кран</t>
  </si>
  <si>
    <t>Производствени сгради с кран</t>
  </si>
  <si>
    <t>Здравни сгради</t>
  </si>
  <si>
    <t>Спортни сгради и съоръжения</t>
  </si>
  <si>
    <t>Високи съоръжения (стълбове, комини, кули, мачти и др.)</t>
  </si>
  <si>
    <t>лв/кв.м</t>
  </si>
  <si>
    <t>Отделностоящи козирки и навеси</t>
  </si>
  <si>
    <t>Навеси и второстепенни постройки</t>
  </si>
  <si>
    <t>Рекламни съоръжения с височина до 10 метра</t>
  </si>
  <si>
    <t>Резервуари за течности</t>
  </si>
  <si>
    <t>ТАБЛИЦА  № 1</t>
  </si>
  <si>
    <t>ВИД СГРАДИ И СЪОРЪЖЕНИЯ</t>
  </si>
  <si>
    <t>Определяне на категорията на сложност на СК:</t>
  </si>
  <si>
    <t>І категория</t>
  </si>
  <si>
    <t>ІІ категория</t>
  </si>
  <si>
    <t>ІІІ категория</t>
  </si>
  <si>
    <t>ІV категория</t>
  </si>
  <si>
    <t>V категория</t>
  </si>
  <si>
    <t>Определяне на строителната стойност:</t>
  </si>
  <si>
    <t>СТОЙНОСТ:</t>
  </si>
  <si>
    <t>1.</t>
  </si>
  <si>
    <t>1.1.</t>
  </si>
  <si>
    <t>1.1.1.</t>
  </si>
  <si>
    <t>1.1.2.</t>
  </si>
  <si>
    <t>1.2.</t>
  </si>
  <si>
    <t>1.3.</t>
  </si>
  <si>
    <t>1.3.1.</t>
  </si>
  <si>
    <t>1.3.2.</t>
  </si>
  <si>
    <t>ИНТЕРПОЛИРАН   % :</t>
  </si>
  <si>
    <t>1.4.</t>
  </si>
  <si>
    <t>1.5.</t>
  </si>
  <si>
    <t>Коеф.</t>
  </si>
  <si>
    <t>Определяне на некоригираната базова цена:</t>
  </si>
  <si>
    <t>2.</t>
  </si>
  <si>
    <t>2.1.</t>
  </si>
  <si>
    <t>2.2.</t>
  </si>
  <si>
    <t>3.</t>
  </si>
  <si>
    <t>2.3.</t>
  </si>
  <si>
    <t>ИДЕЕН ПРОЕКТ:</t>
  </si>
  <si>
    <t>ТЕХНИЧЕСКИ ПРОЕКТ:</t>
  </si>
  <si>
    <t>РАБОТЕН ПРОЕКТ, ДЕТАЙЛИ, ЧЕРТЕЖИ, СПЕЦИФ.:</t>
  </si>
  <si>
    <t>Разпределение на цената по ПРОЕКТНИ ФАЗИ, в зависимост от категорията на сложност :</t>
  </si>
  <si>
    <t>4.</t>
  </si>
  <si>
    <t>5.</t>
  </si>
  <si>
    <t>Конструктивен проект за скулптурни композиции:</t>
  </si>
  <si>
    <t>КАТЕГОРИЗАЦИЯ ПО СЛОЖНОСТ НА КОНСТРУКЦИЯТА:</t>
  </si>
  <si>
    <t>ОБЩО РАЗХОДИ:</t>
  </si>
  <si>
    <t>Изготвяне на допълнителен екз.от проекта /над 3 к-та /-бр.</t>
  </si>
  <si>
    <t>/ инж. Атанас ТОДОРОВ /</t>
  </si>
  <si>
    <t>ИЗГОТВИЛ   ПРОЕКТАНТ:</t>
  </si>
  <si>
    <t>СТОЙНОСТ</t>
  </si>
  <si>
    <t>ПО РЕД</t>
  </si>
  <si>
    <t>%  ЗА  КАТЕГОРИЯ  НА  СЛОЖНОСТ</t>
  </si>
  <si>
    <t>ФАЗА:</t>
  </si>
  <si>
    <t>Дата:</t>
  </si>
  <si>
    <t xml:space="preserve">гр.  </t>
  </si>
  <si>
    <t>П л о в д и в</t>
  </si>
  <si>
    <t>Част:</t>
  </si>
  <si>
    <t>до 2008</t>
  </si>
  <si>
    <t>лин.м.</t>
  </si>
  <si>
    <t>СЪГЛАСНО  чл.7 ал.(1) и ал.(2), т.1 от МЕТОДИКА за определяне на размера на възнагражденията за предоставяне на проектантски услуги от инженерите в устройственото планиране и в инвестиционното проектиране, приета на основание чл.6, т.7 и чл.29 от ЗКАИИП</t>
  </si>
  <si>
    <t>ВЪЗЛОЖИТЕЛ:</t>
  </si>
  <si>
    <t>ПРОВЕРКА :</t>
  </si>
  <si>
    <t>Административни, обществени и обслужващи сгради до 20 етажа</t>
  </si>
  <si>
    <t>куб.м.</t>
  </si>
  <si>
    <t>ПРИЕМАМ  СТОЙНОСТТА  НА  ДОГОВОРА!</t>
  </si>
  <si>
    <r>
      <t>Строеж:</t>
    </r>
    <r>
      <rPr>
        <sz val="12"/>
        <rFont val="Times New Roman"/>
        <family val="1"/>
        <charset val="204"/>
      </rPr>
      <t xml:space="preserve"> </t>
    </r>
  </si>
  <si>
    <t xml:space="preserve">                  </t>
  </si>
  <si>
    <t>/                                            /</t>
  </si>
  <si>
    <t>Определяне на основната цена при следващо прилагане / пригаждане на ПРОЕКТ при непроменени въздействия и геоложки условия:</t>
  </si>
  <si>
    <r>
      <t>ВЪЗЛОЖИТЕЛ:</t>
    </r>
    <r>
      <rPr>
        <sz val="12"/>
        <rFont val="Times New Roman"/>
        <family val="1"/>
        <charset val="204"/>
      </rPr>
      <t xml:space="preserve"> </t>
    </r>
  </si>
  <si>
    <r>
      <t>ИЗПЪЛНИТЕЛ:</t>
    </r>
    <r>
      <rPr>
        <sz val="12"/>
        <rFont val="Times New Roman"/>
        <family val="1"/>
        <charset val="204"/>
      </rPr>
      <t xml:space="preserve"> </t>
    </r>
  </si>
  <si>
    <t>Избери!</t>
  </si>
  <si>
    <t>Корекционни коефициети при :</t>
  </si>
  <si>
    <t>Коеф. K</t>
  </si>
  <si>
    <t>01_Избери!</t>
  </si>
  <si>
    <t>02_БДС - РД-02-20-02/2012 - VІІ степен</t>
  </si>
  <si>
    <t>03_БДС - РД-02-20-02/2012 - VІІІ степен</t>
  </si>
  <si>
    <t>04_БДС - РД-02-20-02/2012 - ІХ степен</t>
  </si>
  <si>
    <t>05_ЕС8 при концепция с ниско дисипативно поведение</t>
  </si>
  <si>
    <t>06_ЕС8 при възприет среден клас на дуктилно поведениe DCM</t>
  </si>
  <si>
    <t>07_ЕС8 при възприет висок клас на дуктилно поведениe DCН</t>
  </si>
  <si>
    <r>
      <t>08_ЕС8-3 при гранично състояние „Близко до разрушаване“</t>
    </r>
    <r>
      <rPr>
        <b/>
        <sz val="9"/>
        <color rgb="FFFF0000"/>
        <rFont val="Times New Roman"/>
        <family val="1"/>
        <charset val="204"/>
      </rPr>
      <t>Х</t>
    </r>
    <r>
      <rPr>
        <b/>
        <sz val="8"/>
        <color rgb="FFFF0000"/>
        <rFont val="Times New Roman"/>
        <family val="1"/>
        <charset val="204"/>
      </rPr>
      <t>BG</t>
    </r>
    <r>
      <rPr>
        <b/>
        <sz val="9"/>
        <color rgb="FFFF0000"/>
        <rFont val="Times New Roman"/>
        <family val="1"/>
        <charset val="204"/>
      </rPr>
      <t>Х</t>
    </r>
  </si>
  <si>
    <t>09_ЕС8-3 при гранично състояние „Значителни повреди“</t>
  </si>
  <si>
    <t>10_ЕС8-3 при гранично състояние „Ограничени повреди“</t>
  </si>
  <si>
    <t>11_Ветрови натоварвания с динамична пулсационна компонента:</t>
  </si>
  <si>
    <t>13_Воден подем или преместване:</t>
  </si>
  <si>
    <t>14_Фундаментна плоча или скара:</t>
  </si>
  <si>
    <t>16_Пилотно фундиране:</t>
  </si>
  <si>
    <t>17_Сложни разчленени обеми или различна етажност:</t>
  </si>
  <si>
    <t>19_Сглобяемо-монолитни стоманобетонови конструкции:</t>
  </si>
  <si>
    <t>25_Разработка на проект за защита от корозия:</t>
  </si>
  <si>
    <t>26_Разработка на проект за огнезащита:</t>
  </si>
  <si>
    <t xml:space="preserve">                                                            ПРОЦЕНТ за ниската  стойност:</t>
  </si>
  <si>
    <t xml:space="preserve">                                                            ПРОЦЕНТ за  високата  стойност:</t>
  </si>
  <si>
    <t>1.3.3.</t>
  </si>
  <si>
    <t>1.3.4.</t>
  </si>
  <si>
    <t xml:space="preserve">                                                           Таблична стойност по-ниска от строителната:</t>
  </si>
  <si>
    <t xml:space="preserve"> Таблична стойност по-висока от строителната:</t>
  </si>
  <si>
    <t>02_Прилагане / пригаждане на чуждестранен проект в България:</t>
  </si>
  <si>
    <t>03_При огледален образ</t>
  </si>
  <si>
    <t>05_Всяко прилагане /пригаждане/ на проекта след петото:</t>
  </si>
  <si>
    <t>Обемно-устройствени проучвания, засягащи конструктивни части:</t>
  </si>
  <si>
    <t>Изготвяне на ПУСО:</t>
  </si>
  <si>
    <t>ТАБЛИЦА ЗА ОПРЕДЕЛЯНЕ НА ДОПЪЛНИТЕЛНИТЕ РАЗХОДИ:</t>
  </si>
  <si>
    <t>Мярка</t>
  </si>
  <si>
    <t>км.</t>
  </si>
  <si>
    <t>лв.</t>
  </si>
  <si>
    <t>Цена за единица</t>
  </si>
  <si>
    <t>Количество</t>
  </si>
  <si>
    <t>ОБЩО Количество</t>
  </si>
  <si>
    <t>БРОЙ подобни</t>
  </si>
  <si>
    <t>Други свързани офис разходи в лв.:</t>
  </si>
  <si>
    <t>Проектант с пълна проектантска правоспособност</t>
  </si>
  <si>
    <t>Проектант с непълна проектантска правоспособност</t>
  </si>
  <si>
    <t>Технически сътрудник</t>
  </si>
  <si>
    <t>Вложено време</t>
  </si>
  <si>
    <t>(часове)</t>
  </si>
  <si>
    <t>БАЗА  ИСТОРИЯ</t>
  </si>
  <si>
    <t>Административни, обществени и обслужващи сгради над 20 етажа</t>
  </si>
  <si>
    <t>Шлицови стени (средно)</t>
  </si>
  <si>
    <t>Анкерирани шлицови стени (средно)</t>
  </si>
  <si>
    <t>15_Фундиране с подколонници, възглавници и обикновено фундиране в льос:</t>
  </si>
  <si>
    <t>12_Фундиране при терени с наклон над 10 %:</t>
  </si>
  <si>
    <t>04_От първо до пето прилагане /пригаждане/ на проекта:</t>
  </si>
  <si>
    <t>Визуализация на проект:</t>
  </si>
  <si>
    <t>Предварителни / Прединвестиционни / проучвания (мин.10%):</t>
  </si>
  <si>
    <t>Проектиране с индивидуални (несерийни) строителни продукти:</t>
  </si>
  <si>
    <t>Изготвяне на количествени сметки (мин.4%):</t>
  </si>
  <si>
    <t>Изготвяне на стойностни сметки (мин.4%):</t>
  </si>
  <si>
    <t>Проектиране на изменения, допълнения, преработки и други подобни:</t>
  </si>
  <si>
    <t>Изготвяне на "Задание за проектиране" (мин.5%):</t>
  </si>
  <si>
    <t>Изготвяне на "Тръжна документация" (мин.10%):</t>
  </si>
  <si>
    <t>Изготвяне на технически спецификации (условия) за изпълнение и контрол (мин.5%):</t>
  </si>
  <si>
    <t>Изготвяне на екзекутивна документация (мин.10%):</t>
  </si>
  <si>
    <t>Изготвяне на инструкция за експлоатация, поддръжка и проект за мониторинг на сградата или съоръжението :</t>
  </si>
  <si>
    <t>Изготвяне на синтензни (координационни) планове на сградата или съоръжението (мин.10%):</t>
  </si>
  <si>
    <t>Заснемане на съществуващи сгради и съоръжения (мин.20% от съответната част):</t>
  </si>
  <si>
    <t>Други дейности и видове работи, непосочени в приложенията:</t>
  </si>
  <si>
    <t>БАЗОВА ТАБЛИЦА  № 3</t>
  </si>
  <si>
    <t>Пътни разходи с общ.транспорт в лв. /в една посока /:</t>
  </si>
  <si>
    <t>Пътни разходи с личен транспорт (в лв. за 100 км), при разстояние до строежа в км. / в една посока /:</t>
  </si>
  <si>
    <t>ИЗПЪЛНИТЕЛ:</t>
  </si>
  <si>
    <t>инж. Атанас Тодоров</t>
  </si>
  <si>
    <t>СТРОЕЖ:</t>
  </si>
  <si>
    <t>ХОНОРАР - СМЕТКА  №</t>
  </si>
  <si>
    <t>за отчитане на разходите</t>
  </si>
  <si>
    <t>ОТНОСНО:</t>
  </si>
  <si>
    <t>АВТОРСКИ НАДЗОР</t>
  </si>
  <si>
    <t>ПО  ДОГОВОР</t>
  </si>
  <si>
    <t>АН-18</t>
  </si>
  <si>
    <t>от</t>
  </si>
  <si>
    <t>10.12.2018</t>
  </si>
  <si>
    <t xml:space="preserve">     Днес</t>
  </si>
  <si>
    <t>24.02.2019</t>
  </si>
  <si>
    <t>г.,  долуподписаният</t>
  </si>
  <si>
    <t>в изпълнение на задълженията ми по горецитирания договор и по покана на  ВЪЗЛОЖИТЕЛЯ</t>
  </si>
  <si>
    <t>извърших  дейности  свързани  с  провеждането  на:</t>
  </si>
  <si>
    <t>във връзка с промяна  на  обстоятелствата, свързани със строежа. След направените огледи,</t>
  </si>
  <si>
    <t>анализи и оценки се съставиха свързаните  с  етапа и обстоятелствата строителни книжа за</t>
  </si>
  <si>
    <t>досието на обекта.</t>
  </si>
  <si>
    <t>За изпълнение на дейностите са извършени следните разходи, определени по вложено време и калкулации:</t>
  </si>
  <si>
    <t>Ценообразуващи елементи</t>
  </si>
  <si>
    <t>Ед.цена</t>
  </si>
  <si>
    <t>Стойност</t>
  </si>
  <si>
    <t>час</t>
  </si>
  <si>
    <t>ДА</t>
  </si>
  <si>
    <t>* При наличие на други разходи по калкулации се прилага разбивка за тях и разходооправдателни документи.</t>
  </si>
  <si>
    <t>Съставил:</t>
  </si>
  <si>
    <t>/</t>
  </si>
  <si>
    <t>АКТ   №</t>
  </si>
  <si>
    <t>Обр.1.1</t>
  </si>
  <si>
    <t xml:space="preserve">за разплащане на проектантска услуга, свързана с  </t>
  </si>
  <si>
    <t>Днес</t>
  </si>
  <si>
    <t>, подписаните представители на</t>
  </si>
  <si>
    <t>ВЪЗЛОЖИТЕЛЯ:</t>
  </si>
  <si>
    <t>и ИЗПЪЛНИТЕЛЯ:</t>
  </si>
  <si>
    <t>установихме, че Изпълнителят е изпълнил задълженията си  в съответствие с договорните условия и следва да  се изплати хонорара, определен със горната  хонорар-сметка.</t>
  </si>
  <si>
    <t>ОБЩА СУМА ЗА ИЗПЛАЩАНЕ:</t>
  </si>
  <si>
    <t>Приложение:</t>
  </si>
  <si>
    <t>Хонорар-сметка  №</t>
  </si>
  <si>
    <t>Нощувки в лв. / С праг, съгласно наредбата за командировките /:</t>
  </si>
  <si>
    <t>Разходи за комуникации (телефон, факс, интернет, куриер, поща и др.)</t>
  </si>
  <si>
    <t xml:space="preserve">Количество </t>
  </si>
  <si>
    <t>Отчетено разстояние в километри от офиса на проектанта до строежа:</t>
  </si>
  <si>
    <t>ОПРЕДЕЛЯНЕ НА ДОПЪЛНИТЕЛНИТЕ РАЗХОДИ ПО ВРЕМЕ:</t>
  </si>
  <si>
    <t>ОПРЕДЕЛЯНЕ НА ДОПЪЛНИТЕЛНИТЕ РАЗХОДИ ПО КАЛКУЛАЦИИ:</t>
  </si>
  <si>
    <t>от проектант с ППП</t>
  </si>
  <si>
    <t>от технически сътрудник</t>
  </si>
  <si>
    <t>от проектант с ОПП</t>
  </si>
  <si>
    <t>вложено време в проектантското бюро</t>
  </si>
  <si>
    <t>време за пътуване до и обратно от строежа</t>
  </si>
  <si>
    <t>други разходи по калкулации:</t>
  </si>
  <si>
    <t>вложено време на строежа от технически сътрудник</t>
  </si>
  <si>
    <t>вложено време на строежа от проектант с ОПП</t>
  </si>
  <si>
    <t>вложено време на строежа от проектант с ППП</t>
  </si>
  <si>
    <t>КОНСТРУКТИВНА</t>
  </si>
  <si>
    <t>Еднофазно проектиране</t>
  </si>
  <si>
    <t>/ В сила от 01.01.2026 г. /</t>
  </si>
  <si>
    <t>Това приложение е неразделна част от договора за инвестиционно проектиране по част конструктивна!</t>
  </si>
  <si>
    <t>Високи съоръжения (стълбове, комини, кули, мачти и др.) - за линеен метър</t>
  </si>
  <si>
    <t>Резервоари за течности и газове- за кубичен метър</t>
  </si>
  <si>
    <t>Пилотно фундиране за 1 брой пилот (средно) - за линеен метър</t>
  </si>
  <si>
    <t>Евро</t>
  </si>
  <si>
    <t>кв.м.</t>
  </si>
  <si>
    <t>Евро /</t>
  </si>
  <si>
    <t>Определяне основната цена на проекта по част  "КОНСТРУКТИВНА"</t>
  </si>
  <si>
    <t>Е=</t>
  </si>
  <si>
    <t>Неактивното се изтрива!</t>
  </si>
  <si>
    <r>
      <rPr>
        <b/>
        <sz val="12"/>
        <rFont val="Times New Roman"/>
        <family val="1"/>
        <charset val="204"/>
      </rPr>
      <t>(</t>
    </r>
    <r>
      <rPr>
        <b/>
        <sz val="12"/>
        <color rgb="FFFF0000"/>
        <rFont val="Times New Roman"/>
        <family val="1"/>
        <charset val="204"/>
      </rPr>
      <t>П</t>
    </r>
    <r>
      <rPr>
        <b/>
        <sz val="12"/>
        <rFont val="Times New Roman"/>
        <family val="1"/>
        <charset val="204"/>
      </rPr>
      <t xml:space="preserve">) </t>
    </r>
    <r>
      <rPr>
        <b/>
        <sz val="10"/>
        <rFont val="Times New Roman"/>
        <family val="1"/>
        <charset val="204"/>
      </rPr>
      <t>- НАТУРАЛЕН ПОКАЗАТЕЛ ЗА РАЗМЕРНОСТ НА КОНСТРУКЦИЯТА</t>
    </r>
  </si>
  <si>
    <r>
      <t xml:space="preserve">Базисна единична цена </t>
    </r>
    <r>
      <rPr>
        <b/>
        <sz val="12"/>
        <rFont val="Times New Roman"/>
        <family val="1"/>
        <charset val="204"/>
      </rPr>
      <t>(</t>
    </r>
    <r>
      <rPr>
        <b/>
        <sz val="12"/>
        <color rgb="FFFF0000"/>
        <rFont val="Times New Roman"/>
        <family val="1"/>
        <charset val="204"/>
      </rPr>
      <t>Е</t>
    </r>
    <r>
      <rPr>
        <b/>
        <sz val="12"/>
        <rFont val="Times New Roman"/>
        <family val="1"/>
        <charset val="204"/>
      </rPr>
      <t>)</t>
    </r>
    <r>
      <rPr>
        <b/>
        <sz val="9"/>
        <rFont val="Times New Roman"/>
        <family val="1"/>
        <charset val="204"/>
      </rPr>
      <t xml:space="preserve"> на конструкцията в Евро, отчетени от </t>
    </r>
    <r>
      <rPr>
        <b/>
        <sz val="9"/>
        <color indexed="10"/>
        <rFont val="Times New Roman"/>
        <family val="1"/>
        <charset val="204"/>
      </rPr>
      <t>Таблица № 1</t>
    </r>
    <r>
      <rPr>
        <b/>
        <sz val="9"/>
        <rFont val="Times New Roman"/>
        <family val="1"/>
        <charset val="204"/>
      </rPr>
      <t xml:space="preserve"> за:</t>
    </r>
  </si>
  <si>
    <t>Активното се попълва!</t>
  </si>
  <si>
    <r>
      <t>Определяне на % (</t>
    </r>
    <r>
      <rPr>
        <b/>
        <sz val="12"/>
        <color rgb="FFFF0000"/>
        <rFont val="Times New Roman"/>
        <family val="1"/>
        <charset val="204"/>
      </rPr>
      <t>А</t>
    </r>
    <r>
      <rPr>
        <b/>
        <sz val="12"/>
        <rFont val="Times New Roman"/>
        <family val="1"/>
        <charset val="204"/>
      </rPr>
      <t>),  в зависимост от строителната</t>
    </r>
  </si>
  <si>
    <r>
      <t xml:space="preserve">стойност и категорията 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8"/>
        <color rgb="FFFF0000"/>
        <rFont val="Times New Roman"/>
        <family val="1"/>
        <charset val="204"/>
      </rPr>
      <t>/ отчетено от Таблица № 3 /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:</t>
    </r>
  </si>
  <si>
    <r>
      <t>Определяне на корекционни коефициенти (</t>
    </r>
    <r>
      <rPr>
        <b/>
        <sz val="12"/>
        <color rgb="FFFF0000"/>
        <rFont val="Times New Roman"/>
        <family val="1"/>
        <charset val="204"/>
      </rPr>
      <t>К</t>
    </r>
    <r>
      <rPr>
        <b/>
        <sz val="12"/>
        <rFont val="Times New Roman"/>
        <family val="1"/>
        <charset val="204"/>
      </rPr>
      <t>) за добавена стойност  при :</t>
    </r>
  </si>
  <si>
    <t>СТРОИТЕЛНА  СТОЙНОСТ - Ст = П*Е :</t>
  </si>
  <si>
    <r>
      <t>НЕКОРЕГИРАНА БАЗОВА СЕБЕСТОЙНОСТ - В</t>
    </r>
    <r>
      <rPr>
        <b/>
        <vertAlign val="subscript"/>
        <sz val="12"/>
        <color rgb="FFFF0000"/>
        <rFont val="Times New Roman"/>
        <family val="1"/>
        <charset val="204"/>
      </rPr>
      <t>о</t>
    </r>
    <r>
      <rPr>
        <b/>
        <sz val="12"/>
        <color indexed="10"/>
        <rFont val="Times New Roman"/>
        <family val="1"/>
        <charset val="204"/>
      </rPr>
      <t xml:space="preserve"> = Ст*А :</t>
    </r>
  </si>
  <si>
    <r>
      <rPr>
        <b/>
        <sz val="10"/>
        <rFont val="Times New Roman"/>
        <family val="1"/>
        <charset val="204"/>
      </rPr>
      <t>Коеф.</t>
    </r>
    <r>
      <rPr>
        <b/>
        <sz val="12"/>
        <rFont val="Times New Roman"/>
        <family val="1"/>
        <charset val="204"/>
      </rPr>
      <t xml:space="preserve"> (</t>
    </r>
    <r>
      <rPr>
        <b/>
        <sz val="12"/>
        <color rgb="FFFF0000"/>
        <rFont val="Times New Roman"/>
        <family val="1"/>
        <charset val="204"/>
      </rPr>
      <t>K</t>
    </r>
    <r>
      <rPr>
        <b/>
        <sz val="12"/>
        <rFont val="Times New Roman"/>
        <family val="1"/>
        <charset val="204"/>
      </rPr>
      <t>)</t>
    </r>
  </si>
  <si>
    <t>(Евро)</t>
  </si>
  <si>
    <r>
      <t>КОРЕКЦИОННА ЦЕНА ОТ  КОЕФИЦИЕНТИ - В</t>
    </r>
    <r>
      <rPr>
        <b/>
        <vertAlign val="subscript"/>
        <sz val="12"/>
        <color rgb="FFFF0000"/>
        <rFont val="Times New Roman"/>
        <family val="1"/>
        <charset val="204"/>
      </rPr>
      <t>k</t>
    </r>
    <r>
      <rPr>
        <b/>
        <sz val="12"/>
        <color indexed="10"/>
        <rFont val="Times New Roman"/>
        <family val="1"/>
        <charset val="204"/>
      </rPr>
      <t xml:space="preserve"> = </t>
    </r>
    <r>
      <rPr>
        <b/>
        <sz val="12"/>
        <color indexed="10"/>
        <rFont val="Symbol"/>
        <family val="1"/>
        <charset val="2"/>
      </rPr>
      <t>S</t>
    </r>
    <r>
      <rPr>
        <b/>
        <sz val="12"/>
        <color indexed="10"/>
        <rFont val="Times New Roman"/>
        <family val="1"/>
        <charset val="204"/>
      </rPr>
      <t>Ст*А*К</t>
    </r>
    <r>
      <rPr>
        <b/>
        <vertAlign val="subscript"/>
        <sz val="12"/>
        <color rgb="FFFF0000"/>
        <rFont val="Times New Roman"/>
        <family val="1"/>
        <charset val="204"/>
      </rPr>
      <t>n</t>
    </r>
    <r>
      <rPr>
        <b/>
        <sz val="12"/>
        <color indexed="10"/>
        <rFont val="Times New Roman"/>
        <family val="1"/>
        <charset val="204"/>
      </rPr>
      <t xml:space="preserve"> :</t>
    </r>
  </si>
  <si>
    <t>Часова ставка</t>
  </si>
  <si>
    <t>ПЕЧАЛБА по чл.8 от глава Втора:</t>
  </si>
  <si>
    <t>ДОГОВОРНА СТОЙНОСТ НА ВЪЗНАГРАЖДЕНИЕТО ЗА ПРОЕКТИРАНЕ ПО ЧАСТ КОНСТРУКТИВНА:</t>
  </si>
  <si>
    <t>ЕВРО</t>
  </si>
  <si>
    <r>
      <t xml:space="preserve">СЕБЕСТОЙНОСТ  НА  ПРОЕКТА  - </t>
    </r>
    <r>
      <rPr>
        <b/>
        <sz val="12"/>
        <color rgb="FFFF0000"/>
        <rFont val="Times New Roman"/>
        <family val="1"/>
        <charset val="204"/>
      </rPr>
      <t>В = В</t>
    </r>
    <r>
      <rPr>
        <b/>
        <vertAlign val="subscript"/>
        <sz val="12"/>
        <color rgb="FFFF0000"/>
        <rFont val="Times New Roman"/>
        <family val="1"/>
        <charset val="204"/>
      </rPr>
      <t>о</t>
    </r>
    <r>
      <rPr>
        <b/>
        <sz val="12"/>
        <color rgb="FFFF0000"/>
        <rFont val="Times New Roman"/>
        <family val="1"/>
        <charset val="204"/>
      </rPr>
      <t xml:space="preserve"> + В</t>
    </r>
    <r>
      <rPr>
        <b/>
        <vertAlign val="subscript"/>
        <sz val="12"/>
        <color rgb="FFFF0000"/>
        <rFont val="Times New Roman"/>
        <family val="1"/>
        <charset val="204"/>
      </rPr>
      <t>к</t>
    </r>
    <r>
      <rPr>
        <b/>
        <sz val="12"/>
        <color indexed="8"/>
        <rFont val="Times New Roman"/>
        <family val="1"/>
        <charset val="204"/>
      </rPr>
      <t xml:space="preserve"> :</t>
    </r>
  </si>
  <si>
    <t>ДРУГИ  ДЕЙНОСТИ  ИЛИ  УСЛУГИ:</t>
  </si>
  <si>
    <t>НА  СТРОИТЕЛНАТА  КОНСТРУКЦИЯ  В  ЕВРО</t>
  </si>
  <si>
    <t>ДВ, бр.105 от 13 Декември 2024г.</t>
  </si>
  <si>
    <t>Словом:</t>
  </si>
  <si>
    <t>Допълнителни разходи:</t>
  </si>
  <si>
    <t>Монтаж на инсталации, съоръжения и уредби, с изключение на съоръженията с повишена степен на опасност, подлежащи на технически надзор от Главна дирекция "Инспекция за държавен технически надзор" по чл.147, ал(1), т.2 от ЗУТ;</t>
  </si>
  <si>
    <t>Реконструкция или основен ремонт на покриви на сгради, разположени в имоти - частна собственост, отредени за ниско жилищно застрояване, без изграждане на нови стоманобетонни плочи, без промяна на височината и предназначението на подпокривното пространство по чл.147, ал(1), т.3 от ЗУТ;</t>
  </si>
  <si>
    <t>Подпорни стени с височина от 1,20 м до 2 м над нивото на прилежащия в основата им терен, когато не са елемент на транспортни обекти по чл.147, ал(1), т.5 от ЗУТ:</t>
  </si>
  <si>
    <t>Басейни с обем до 100 куб. м в оградени поземлени имоти по чл.147, ал(1), т.4 от ЗУТ:</t>
  </si>
  <si>
    <t>Плътни огради на урегулирани поземлени имоти с височина на плътната част от 0,60 м до 2,20 м, с изключение на случаите по чл. 48, ал. 9, съгласно чл.147, ал(1), т.7 от ЗУТ :</t>
  </si>
  <si>
    <t>14а</t>
  </si>
  <si>
    <t>Строежите по чл. 55;  До реализирането на подробния устройствен план поземлените имоти могат да се използват за временни открити паркинги, пазари за сергийна търговия, открити обекти за спортни дейности и площадки за игра, преместваеми обекти по чл. 56, ал. 1 и други подобни открити обекти въз основа на разрешение за строеж, съответно разрешение за поставяне, при условия и по ред, определени с наредба на общинския съвет, съгласно чл.147, ал(1), т.10 от ЗУТ;</t>
  </si>
  <si>
    <t>Монтаж на инсталации за производство на електрическа енергия, включително съоръженията за присъединяването им към електроразпределителната мрежа, топлинна енергия и/или енергия за охлаждане от възобновяеми източници с обща инсталирана мощност до 1 МW включително към съществуващите сгради и постройки, в т.ч. върху покривните и фасадните им конструкции и в прилежащите им поземлени имоти, съгласно чл.147, ал(1), т.14 от ЗУТ;</t>
  </si>
  <si>
    <t>Изграждане на енергиен обект по чл. 25а, ал. 1 от Закона за енергията от възобновяеми източници с обща инсталирана мощност до 5 МW по чл.147, ал(1), т.14а от ЗУТ;</t>
  </si>
  <si>
    <t>Изграждане на физическа инфраструктура върху покривните пространства или фасади на съществуващи сгради или вътре в тях, предназначена за разполагане на приемно-предавателни станции или на радиосъоръжения по смисъла на § 1, т. 56 от допълнителните разпоредби на Закона за електронните съобщения по чл.147, ал(1), т.15 от ЗУТ;</t>
  </si>
  <si>
    <t>Изграждане на физическа инфраструктура за разполагане на кабелни електронни съобщителни мрежи от регулационната линия на имота, в който се изгражда, до входната точка на мрежата в сградата по чл.147, ал(1), т.16 от ЗУТ;</t>
  </si>
  <si>
    <t>Основен ремонт на приемно-предавателни станции и тяхната физическа инфраструктура, в случай че не се налага да бъдат изпълнени изкопни работи и/или строително-монтажни работи, променящи конструкцията, вида на конструктивните елементи и/или натоварвания на съответните съоръжения, с оглед на спазването на изискванията за механично съпротивление и устойчивост по чл.147, ал(1), т.18 от ЗУТ;</t>
  </si>
  <si>
    <t>Оранжерии с площ от 200 кв. м до 1000 кв. м включително, без съпътстващи производствени инсталации и без помощни (обслужващи) сгради и постройкипо чл.147, ал(1), т.17 от ЗУТ;</t>
  </si>
  <si>
    <t>Второстепенни постройки на допълващото застрояване (летни кухни и леки постройки за отоплителни материали и инвентар, кладенци, чешми, водоплътни изгребни ями и временни тоалетни) могат да се изграждат в УПИ за ниско жилищно или за вилно застрояване по чл.147, ал(1), т.1 и чл.46 от ЗУТ .</t>
  </si>
  <si>
    <t xml:space="preserve">ИЗГОТВЯНЕ НА  ПРОЕКТНИ  РЕШЕНИЯ по чл.147 от ЗУТ:                                          </t>
  </si>
  <si>
    <r>
      <t xml:space="preserve">ПРИЛАГАНЕ или ПРИГАЖДАНЕ НА ПРОЕКТ </t>
    </r>
    <r>
      <rPr>
        <b/>
        <sz val="8"/>
        <rFont val="Times New Roman"/>
        <family val="1"/>
        <charset val="204"/>
      </rPr>
      <t>(Следващо при непроменени въздействия и  геоложки условия)</t>
    </r>
    <r>
      <rPr>
        <b/>
        <sz val="10"/>
        <rFont val="Times New Roman"/>
        <family val="1"/>
        <charset val="204"/>
      </rPr>
      <t>:</t>
    </r>
  </si>
  <si>
    <r>
      <t>КОНСТРУКТИВНО  СТАНОВИЩЕ (</t>
    </r>
    <r>
      <rPr>
        <b/>
        <sz val="8"/>
        <rFont val="Times New Roman"/>
        <family val="1"/>
        <charset val="204"/>
      </rPr>
      <t>Без графична част</t>
    </r>
    <r>
      <rPr>
        <b/>
        <sz val="10"/>
        <rFont val="Times New Roman"/>
        <family val="1"/>
        <charset val="204"/>
      </rPr>
      <t>):</t>
    </r>
  </si>
  <si>
    <t>Инвеститорски и инженерен контрол по реализиране на инвестиционен проек;</t>
  </si>
  <si>
    <t>Изготвяне на проект за временно строителство:</t>
  </si>
  <si>
    <t>Проект за укрепване на изкоп:</t>
  </si>
  <si>
    <t>Допълнителни варианти на идеен проект - за всеки следващ вариант мин.50%, К=0.5:</t>
  </si>
  <si>
    <t>ДРУГИ  ДЕЙНОСТИ  И  УСЛУГИ:</t>
  </si>
  <si>
    <t>Изготвяне на ПРОЕКТНИ  РЕШЕНИЯ по чл.147 от ЗУТ:</t>
  </si>
  <si>
    <t>18_Сгради с неправилна геометрия в план:</t>
  </si>
  <si>
    <t>20_Комбинирани стомано-стоманобетонови конструкции:</t>
  </si>
  <si>
    <t>21_Цялостно със стоманени /дървени / конструкции:</t>
  </si>
  <si>
    <t>22_Частично със стоманени /дървени / конструкции:</t>
  </si>
  <si>
    <t>23_Конструкции с болтови (нитовани) съединения:</t>
  </si>
  <si>
    <t>24_Разработка на производствени чертежи ( фаза КМД ):</t>
  </si>
  <si>
    <t>27_Проектантска услуга за изпълнение в чужбина</t>
  </si>
  <si>
    <t>28_Реконстр.и преустройства при наличие на проект.докум.</t>
  </si>
  <si>
    <t>29_Реконстр.и преустройства без проектна документация</t>
  </si>
  <si>
    <t>30_Изменения, допълнения и преработки с % прераб.под 50</t>
  </si>
  <si>
    <t>31_Конструкции на сгради, паметници на културата:</t>
  </si>
  <si>
    <t>32_Възлагане на допълн. варианти на ИП-за всеки следващ +50%</t>
  </si>
  <si>
    <t>33_Проектиране на уникални конструкции или в аварийни ситуации:</t>
  </si>
  <si>
    <t>34_Ускорено проектиране ( К = 1,2 до 1,5 ):</t>
  </si>
  <si>
    <t>6.</t>
  </si>
  <si>
    <t>СЕБЕСТОЙНОСТ НА ПРОЕКТНАТА РАЗРАБОТКА ЗА:</t>
  </si>
  <si>
    <t>ИЗЧИСЛЕНА СТОЙНОСТ НА ВЪЗНАГРАЖДЕНИЕТО В:</t>
  </si>
  <si>
    <t xml:space="preserve">За определяне себестойността при специфични условия на проектиране, съгласно чл.19, ал.1, часовите ставки са регламентирани и обн. в </t>
  </si>
  <si>
    <t>Строежите по чл. 50, т. 1 и т. 2, буква "в", съгласно чл.147, ал(1), т.6 от ЗУТ; В случаите по чл. 49 лицата могат да изградят следните временни строежи: 1. в застроени поземлени имоти:
а) едноетажна или двуетажна пристройка;
б) преустройство на таванско помещение, с надзид до 1,5 м и капандури, независимо от етажността;
в) ателие или обект с обслужващо предназначение при спазване на застроена площ и височина;
г) постройки на допълващо застрояване при условията на чл. 46;
д) гараж;   е) ограда, съобразена с изискванията по чл. 48, ал. 2;
2. в незастроени поземлени имоти:
а) жилищна сграда със застроена площ до 60 кв.м на два етажа или жилищна сграда на един етаж до 80 кв.м;   в) строежи по т. 1, букви "в", "г", "д" и "е".</t>
  </si>
  <si>
    <t>за 1</t>
  </si>
  <si>
    <t>Цена Е    в евро</t>
  </si>
  <si>
    <t>СТОЙНОСТ на строителната конструкция в евро</t>
  </si>
  <si>
    <t>№         по ред</t>
  </si>
  <si>
    <t xml:space="preserve"> V категория</t>
  </si>
  <si>
    <t>IV категория</t>
  </si>
  <si>
    <t>III категория</t>
  </si>
  <si>
    <t>II категория</t>
  </si>
  <si>
    <t>I категория</t>
  </si>
  <si>
    <t>€ / час</t>
  </si>
  <si>
    <t>За вложено време за подготовка в офиса на проектанта - общо:</t>
  </si>
  <si>
    <t>€</t>
  </si>
  <si>
    <t>€ /100 км.</t>
  </si>
  <si>
    <t>€ /билет</t>
  </si>
  <si>
    <t>€ /нощ.</t>
  </si>
  <si>
    <t>€ /брой</t>
  </si>
  <si>
    <t>Общ хонорар по сметката в евро:</t>
  </si>
  <si>
    <t>€ (Евро)</t>
  </si>
  <si>
    <t>Времепътуване в часове /в една посока с Vср.= 60 км/ч,  при часова ставка на пътуващия проектант с ППП:</t>
  </si>
  <si>
    <t>Иван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</si>
</sst>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0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6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8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4"/>
      <name val="Arial"/>
      <family val="2"/>
      <charset val="204"/>
    </font>
    <font>
      <b/>
      <sz val="10"/>
      <color rgb="FFFFFFCC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b/>
      <sz val="8"/>
      <color rgb="FFFFFFCC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6" tint="0.59999389629810485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vertAlign val="subscript"/>
      <sz val="12"/>
      <color rgb="FFFF0000"/>
      <name val="Times New Roman"/>
      <family val="1"/>
      <charset val="204"/>
    </font>
    <font>
      <b/>
      <sz val="12"/>
      <color indexed="10"/>
      <name val="Symbol"/>
      <family val="1"/>
      <charset val="2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7"/>
      <color rgb="FF000000"/>
      <name val="Verdana"/>
      <family val="2"/>
      <charset val="204"/>
    </font>
    <font>
      <sz val="8"/>
      <name val="Aptos Narrow"/>
      <family val="2"/>
    </font>
    <font>
      <sz val="8"/>
      <color rgb="FF000000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12" xfId="0" applyBorder="1"/>
    <xf numFmtId="0" fontId="0" fillId="0" borderId="14" xfId="0" applyBorder="1"/>
    <xf numFmtId="0" fontId="0" fillId="6" borderId="8" xfId="0" applyFill="1" applyBorder="1" applyAlignment="1">
      <alignment horizontal="center"/>
    </xf>
    <xf numFmtId="0" fontId="0" fillId="6" borderId="6" xfId="0" applyFill="1" applyBorder="1"/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5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0" fillId="0" borderId="15" xfId="0" applyNumberFormat="1" applyBorder="1" applyAlignment="1">
      <alignment horizontal="center"/>
    </xf>
    <xf numFmtId="0" fontId="12" fillId="0" borderId="0" xfId="0" applyFont="1"/>
    <xf numFmtId="0" fontId="17" fillId="0" borderId="0" xfId="0" applyFont="1"/>
    <xf numFmtId="2" fontId="4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5" fillId="0" borderId="0" xfId="0" applyFont="1"/>
    <xf numFmtId="0" fontId="0" fillId="0" borderId="2" xfId="0" applyBorder="1" applyAlignment="1">
      <alignment wrapText="1"/>
    </xf>
    <xf numFmtId="0" fontId="2" fillId="3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/>
    <xf numFmtId="0" fontId="27" fillId="0" borderId="0" xfId="0" applyFont="1" applyAlignment="1">
      <alignment horizontal="center" vertical="center"/>
    </xf>
    <xf numFmtId="14" fontId="5" fillId="10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49" fontId="5" fillId="10" borderId="0" xfId="0" applyNumberFormat="1" applyFont="1" applyFill="1" applyAlignment="1">
      <alignment horizontal="right"/>
    </xf>
    <xf numFmtId="0" fontId="5" fillId="3" borderId="15" xfId="0" applyFont="1" applyFill="1" applyBorder="1" applyAlignment="1">
      <alignment vertical="center" wrapText="1"/>
    </xf>
    <xf numFmtId="0" fontId="21" fillId="9" borderId="15" xfId="0" applyFont="1" applyFill="1" applyBorder="1" applyAlignment="1">
      <alignment vertical="top" wrapText="1"/>
    </xf>
    <xf numFmtId="0" fontId="0" fillId="8" borderId="15" xfId="0" applyFill="1" applyBorder="1"/>
    <xf numFmtId="0" fontId="21" fillId="9" borderId="15" xfId="0" applyFont="1" applyFill="1" applyBorder="1"/>
    <xf numFmtId="9" fontId="14" fillId="10" borderId="0" xfId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3" fillId="0" borderId="15" xfId="0" applyFont="1" applyBorder="1"/>
    <xf numFmtId="0" fontId="21" fillId="0" borderId="16" xfId="0" applyFont="1" applyBorder="1"/>
    <xf numFmtId="2" fontId="0" fillId="0" borderId="16" xfId="0" applyNumberFormat="1" applyBorder="1" applyAlignment="1">
      <alignment horizontal="center"/>
    </xf>
    <xf numFmtId="0" fontId="5" fillId="8" borderId="15" xfId="0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2" fontId="0" fillId="3" borderId="15" xfId="0" applyNumberFormat="1" applyFill="1" applyBorder="1" applyAlignment="1">
      <alignment horizontal="center"/>
    </xf>
    <xf numFmtId="2" fontId="0" fillId="2" borderId="15" xfId="0" applyNumberFormat="1" applyFill="1" applyBorder="1" applyAlignment="1">
      <alignment horizontal="right"/>
    </xf>
    <xf numFmtId="0" fontId="0" fillId="3" borderId="15" xfId="0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right"/>
    </xf>
    <xf numFmtId="2" fontId="2" fillId="7" borderId="15" xfId="0" applyNumberFormat="1" applyFont="1" applyFill="1" applyBorder="1"/>
    <xf numFmtId="0" fontId="1" fillId="10" borderId="15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1" fontId="2" fillId="9" borderId="15" xfId="0" applyNumberFormat="1" applyFont="1" applyFill="1" applyBorder="1" applyAlignment="1">
      <alignment horizontal="center"/>
    </xf>
    <xf numFmtId="2" fontId="1" fillId="2" borderId="15" xfId="0" applyNumberFormat="1" applyFont="1" applyFill="1" applyBorder="1"/>
    <xf numFmtId="2" fontId="2" fillId="9" borderId="15" xfId="0" applyNumberFormat="1" applyFont="1" applyFill="1" applyBorder="1" applyAlignment="1">
      <alignment horizontal="center"/>
    </xf>
    <xf numFmtId="2" fontId="1" fillId="9" borderId="15" xfId="0" applyNumberFormat="1" applyFont="1" applyFill="1" applyBorder="1" applyAlignment="1">
      <alignment horizontal="right"/>
    </xf>
    <xf numFmtId="0" fontId="1" fillId="10" borderId="15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1" fontId="2" fillId="10" borderId="15" xfId="0" applyNumberFormat="1" applyFont="1" applyFill="1" applyBorder="1" applyAlignment="1">
      <alignment horizontal="center"/>
    </xf>
    <xf numFmtId="0" fontId="5" fillId="8" borderId="0" xfId="0" applyFont="1" applyFill="1"/>
    <xf numFmtId="0" fontId="19" fillId="8" borderId="0" xfId="0" applyFont="1" applyFill="1" applyAlignment="1">
      <alignment horizontal="left"/>
    </xf>
    <xf numFmtId="0" fontId="4" fillId="9" borderId="15" xfId="0" applyFont="1" applyFill="1" applyBorder="1" applyAlignment="1">
      <alignment vertical="center" wrapText="1"/>
    </xf>
    <xf numFmtId="49" fontId="5" fillId="10" borderId="19" xfId="0" applyNumberFormat="1" applyFont="1" applyFill="1" applyBorder="1" applyAlignment="1">
      <alignment horizontal="right" vertical="top"/>
    </xf>
    <xf numFmtId="2" fontId="3" fillId="10" borderId="20" xfId="0" applyNumberFormat="1" applyFont="1" applyFill="1" applyBorder="1" applyAlignment="1">
      <alignment horizontal="right"/>
    </xf>
    <xf numFmtId="49" fontId="5" fillId="10" borderId="19" xfId="0" applyNumberFormat="1" applyFont="1" applyFill="1" applyBorder="1" applyAlignment="1">
      <alignment horizontal="right"/>
    </xf>
    <xf numFmtId="2" fontId="4" fillId="10" borderId="20" xfId="0" applyNumberFormat="1" applyFont="1" applyFill="1" applyBorder="1" applyAlignment="1">
      <alignment horizontal="center" vertical="center"/>
    </xf>
    <xf numFmtId="1" fontId="5" fillId="10" borderId="19" xfId="0" applyNumberFormat="1" applyFont="1" applyFill="1" applyBorder="1" applyAlignment="1">
      <alignment horizontal="left" vertical="center"/>
    </xf>
    <xf numFmtId="2" fontId="3" fillId="10" borderId="20" xfId="0" applyNumberFormat="1" applyFont="1" applyFill="1" applyBorder="1" applyAlignment="1">
      <alignment horizontal="right" vertical="center"/>
    </xf>
    <xf numFmtId="0" fontId="31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33" fillId="0" borderId="0" xfId="0" applyFont="1" applyAlignment="1">
      <alignment wrapText="1"/>
    </xf>
    <xf numFmtId="49" fontId="4" fillId="9" borderId="15" xfId="0" quotePrefix="1" applyNumberFormat="1" applyFont="1" applyFill="1" applyBorder="1" applyAlignment="1">
      <alignment horizontal="left" vertical="center" wrapText="1"/>
    </xf>
    <xf numFmtId="0" fontId="4" fillId="9" borderId="15" xfId="0" applyFont="1" applyFill="1" applyBorder="1" applyAlignment="1">
      <alignment horizontal="left" vertical="center" wrapText="1"/>
    </xf>
    <xf numFmtId="0" fontId="16" fillId="10" borderId="8" xfId="0" applyFont="1" applyFill="1" applyBorder="1" applyAlignment="1">
      <alignment horizontal="center"/>
    </xf>
    <xf numFmtId="1" fontId="3" fillId="9" borderId="15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11" xfId="0" applyBorder="1"/>
    <xf numFmtId="0" fontId="2" fillId="0" borderId="22" xfId="0" applyFont="1" applyBorder="1"/>
    <xf numFmtId="0" fontId="11" fillId="9" borderId="1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19" xfId="0" applyFont="1" applyBorder="1" applyAlignment="1">
      <alignment vertical="top"/>
    </xf>
    <xf numFmtId="0" fontId="34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3" fillId="10" borderId="0" xfId="0" applyFont="1" applyFill="1" applyAlignment="1">
      <alignment horizontal="left"/>
    </xf>
    <xf numFmtId="2" fontId="37" fillId="2" borderId="5" xfId="0" applyNumberFormat="1" applyFont="1" applyFill="1" applyBorder="1"/>
    <xf numFmtId="2" fontId="1" fillId="10" borderId="1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0" fillId="0" borderId="0" xfId="0" applyAlignment="1">
      <alignment horizontal="left"/>
    </xf>
    <xf numFmtId="164" fontId="0" fillId="9" borderId="15" xfId="0" applyNumberFormat="1" applyFill="1" applyBorder="1"/>
    <xf numFmtId="0" fontId="1" fillId="0" borderId="0" xfId="0" applyFont="1"/>
    <xf numFmtId="2" fontId="2" fillId="10" borderId="15" xfId="0" applyNumberFormat="1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2" fillId="9" borderId="15" xfId="0" applyFont="1" applyFill="1" applyBorder="1" applyAlignment="1">
      <alignment horizontal="center" wrapText="1"/>
    </xf>
    <xf numFmtId="0" fontId="2" fillId="10" borderId="15" xfId="0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right" wrapText="1"/>
    </xf>
    <xf numFmtId="2" fontId="2" fillId="2" borderId="15" xfId="0" applyNumberFormat="1" applyFont="1" applyFill="1" applyBorder="1"/>
    <xf numFmtId="2" fontId="31" fillId="2" borderId="15" xfId="0" applyNumberFormat="1" applyFont="1" applyFill="1" applyBorder="1"/>
    <xf numFmtId="0" fontId="31" fillId="10" borderId="15" xfId="0" applyFont="1" applyFill="1" applyBorder="1" applyAlignment="1">
      <alignment horizontal="right" wrapText="1"/>
    </xf>
    <xf numFmtId="0" fontId="2" fillId="0" borderId="15" xfId="0" applyFont="1" applyBorder="1" applyAlignment="1">
      <alignment horizontal="center" vertical="top"/>
    </xf>
    <xf numFmtId="2" fontId="1" fillId="10" borderId="15" xfId="0" applyNumberFormat="1" applyFont="1" applyFill="1" applyBorder="1" applyAlignment="1">
      <alignment horizontal="center" vertical="top"/>
    </xf>
    <xf numFmtId="0" fontId="19" fillId="2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5" xfId="0" applyFont="1" applyBorder="1" applyAlignment="1">
      <alignment vertical="top"/>
    </xf>
    <xf numFmtId="0" fontId="5" fillId="9" borderId="15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right"/>
    </xf>
    <xf numFmtId="2" fontId="12" fillId="6" borderId="15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left"/>
    </xf>
    <xf numFmtId="2" fontId="12" fillId="10" borderId="5" xfId="0" applyNumberFormat="1" applyFont="1" applyFill="1" applyBorder="1" applyAlignment="1">
      <alignment horizontal="center"/>
    </xf>
    <xf numFmtId="0" fontId="12" fillId="2" borderId="24" xfId="0" applyFont="1" applyFill="1" applyBorder="1" applyAlignment="1">
      <alignment vertical="center"/>
    </xf>
    <xf numFmtId="0" fontId="5" fillId="9" borderId="0" xfId="0" applyFont="1" applyFill="1"/>
    <xf numFmtId="49" fontId="5" fillId="10" borderId="19" xfId="0" applyNumberFormat="1" applyFont="1" applyFill="1" applyBorder="1" applyAlignment="1">
      <alignment horizontal="center" vertical="center"/>
    </xf>
    <xf numFmtId="4" fontId="9" fillId="10" borderId="20" xfId="0" applyNumberFormat="1" applyFont="1" applyFill="1" applyBorder="1" applyAlignment="1">
      <alignment horizontal="right" vertical="center"/>
    </xf>
    <xf numFmtId="49" fontId="12" fillId="10" borderId="19" xfId="0" applyNumberFormat="1" applyFont="1" applyFill="1" applyBorder="1" applyAlignment="1">
      <alignment horizontal="left" vertical="top"/>
    </xf>
    <xf numFmtId="2" fontId="12" fillId="10" borderId="20" xfId="0" applyNumberFormat="1" applyFont="1" applyFill="1" applyBorder="1" applyAlignment="1">
      <alignment horizontal="center"/>
    </xf>
    <xf numFmtId="49" fontId="5" fillId="10" borderId="19" xfId="0" applyNumberFormat="1" applyFont="1" applyFill="1" applyBorder="1" applyAlignment="1">
      <alignment horizontal="left"/>
    </xf>
    <xf numFmtId="0" fontId="14" fillId="10" borderId="25" xfId="0" applyFont="1" applyFill="1" applyBorder="1" applyAlignment="1">
      <alignment horizontal="right"/>
    </xf>
    <xf numFmtId="9" fontId="14" fillId="10" borderId="25" xfId="1" applyFont="1" applyFill="1" applyBorder="1" applyAlignment="1">
      <alignment horizontal="center"/>
    </xf>
    <xf numFmtId="0" fontId="14" fillId="10" borderId="25" xfId="0" applyFont="1" applyFill="1" applyBorder="1" applyAlignment="1">
      <alignment horizontal="center"/>
    </xf>
    <xf numFmtId="0" fontId="5" fillId="10" borderId="25" xfId="0" applyFont="1" applyFill="1" applyBorder="1" applyAlignment="1">
      <alignment wrapText="1"/>
    </xf>
    <xf numFmtId="2" fontId="10" fillId="10" borderId="25" xfId="0" applyNumberFormat="1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right"/>
    </xf>
    <xf numFmtId="0" fontId="4" fillId="10" borderId="25" xfId="0" applyFont="1" applyFill="1" applyBorder="1" applyAlignment="1">
      <alignment horizontal="center"/>
    </xf>
    <xf numFmtId="2" fontId="4" fillId="10" borderId="25" xfId="0" applyNumberFormat="1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17" fillId="5" borderId="0" xfId="0" applyFont="1" applyFill="1" applyAlignment="1">
      <alignment horizontal="center" vertical="center"/>
    </xf>
    <xf numFmtId="2" fontId="12" fillId="5" borderId="0" xfId="0" applyNumberFormat="1" applyFont="1" applyFill="1" applyAlignment="1">
      <alignment horizontal="center" vertical="center"/>
    </xf>
    <xf numFmtId="2" fontId="3" fillId="10" borderId="0" xfId="0" applyNumberFormat="1" applyFont="1" applyFill="1" applyAlignment="1">
      <alignment horizontal="center"/>
    </xf>
    <xf numFmtId="49" fontId="5" fillId="4" borderId="27" xfId="0" applyNumberFormat="1" applyFont="1" applyFill="1" applyBorder="1" applyAlignment="1">
      <alignment horizontal="center"/>
    </xf>
    <xf numFmtId="0" fontId="3" fillId="4" borderId="9" xfId="0" applyFont="1" applyFill="1" applyBorder="1"/>
    <xf numFmtId="2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2" fontId="3" fillId="4" borderId="28" xfId="0" applyNumberFormat="1" applyFont="1" applyFill="1" applyBorder="1" applyAlignment="1">
      <alignment horizontal="right"/>
    </xf>
    <xf numFmtId="49" fontId="5" fillId="5" borderId="21" xfId="0" applyNumberFormat="1" applyFont="1" applyFill="1" applyBorder="1" applyAlignment="1">
      <alignment horizontal="center"/>
    </xf>
    <xf numFmtId="4" fontId="38" fillId="5" borderId="29" xfId="0" applyNumberFormat="1" applyFont="1" applyFill="1" applyBorder="1" applyAlignment="1">
      <alignment horizontal="right" vertical="center"/>
    </xf>
    <xf numFmtId="49" fontId="5" fillId="4" borderId="30" xfId="0" applyNumberFormat="1" applyFont="1" applyFill="1" applyBorder="1" applyAlignment="1">
      <alignment horizontal="center"/>
    </xf>
    <xf numFmtId="0" fontId="3" fillId="4" borderId="25" xfId="0" applyFont="1" applyFill="1" applyBorder="1"/>
    <xf numFmtId="2" fontId="3" fillId="4" borderId="25" xfId="0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2" fontId="3" fillId="4" borderId="31" xfId="0" applyNumberFormat="1" applyFont="1" applyFill="1" applyBorder="1" applyAlignment="1">
      <alignment horizontal="right"/>
    </xf>
    <xf numFmtId="2" fontId="47" fillId="11" borderId="7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/>
    </xf>
    <xf numFmtId="2" fontId="5" fillId="10" borderId="0" xfId="0" applyNumberFormat="1" applyFont="1" applyFill="1" applyAlignment="1">
      <alignment horizontal="center"/>
    </xf>
    <xf numFmtId="2" fontId="10" fillId="10" borderId="0" xfId="0" applyNumberFormat="1" applyFont="1" applyFill="1" applyAlignment="1">
      <alignment horizontal="center"/>
    </xf>
    <xf numFmtId="0" fontId="19" fillId="10" borderId="0" xfId="0" applyFont="1" applyFill="1" applyAlignment="1">
      <alignment horizontal="center"/>
    </xf>
    <xf numFmtId="2" fontId="12" fillId="10" borderId="0" xfId="0" applyNumberFormat="1" applyFont="1" applyFill="1" applyAlignment="1">
      <alignment horizontal="center" vertical="center"/>
    </xf>
    <xf numFmtId="1" fontId="5" fillId="10" borderId="0" xfId="0" applyNumberFormat="1" applyFont="1" applyFill="1" applyAlignment="1">
      <alignment horizontal="center" vertical="center"/>
    </xf>
    <xf numFmtId="0" fontId="3" fillId="10" borderId="0" xfId="0" applyFont="1" applyFill="1"/>
    <xf numFmtId="0" fontId="17" fillId="10" borderId="0" xfId="0" applyFont="1" applyFill="1" applyAlignment="1">
      <alignment horizontal="center"/>
    </xf>
    <xf numFmtId="2" fontId="17" fillId="10" borderId="0" xfId="0" applyNumberFormat="1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49" fontId="5" fillId="10" borderId="11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12" fillId="9" borderId="19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0" fontId="17" fillId="9" borderId="20" xfId="0" applyFont="1" applyFill="1" applyBorder="1" applyAlignment="1">
      <alignment horizontal="left"/>
    </xf>
    <xf numFmtId="0" fontId="17" fillId="10" borderId="19" xfId="0" applyFont="1" applyFill="1" applyBorder="1"/>
    <xf numFmtId="0" fontId="17" fillId="10" borderId="0" xfId="0" applyFont="1" applyFill="1"/>
    <xf numFmtId="0" fontId="14" fillId="10" borderId="20" xfId="0" applyFont="1" applyFill="1" applyBorder="1" applyAlignment="1">
      <alignment horizontal="right"/>
    </xf>
    <xf numFmtId="0" fontId="12" fillId="10" borderId="26" xfId="0" applyFont="1" applyFill="1" applyBorder="1"/>
    <xf numFmtId="0" fontId="12" fillId="10" borderId="11" xfId="0" applyFont="1" applyFill="1" applyBorder="1"/>
    <xf numFmtId="0" fontId="17" fillId="10" borderId="11" xfId="0" applyFont="1" applyFill="1" applyBorder="1"/>
    <xf numFmtId="49" fontId="11" fillId="10" borderId="17" xfId="0" applyNumberFormat="1" applyFont="1" applyFill="1" applyBorder="1" applyAlignment="1">
      <alignment horizontal="left"/>
    </xf>
    <xf numFmtId="0" fontId="11" fillId="10" borderId="13" xfId="0" applyFont="1" applyFill="1" applyBorder="1"/>
    <xf numFmtId="0" fontId="11" fillId="10" borderId="18" xfId="0" applyFont="1" applyFill="1" applyBorder="1"/>
    <xf numFmtId="49" fontId="12" fillId="10" borderId="19" xfId="0" applyNumberFormat="1" applyFont="1" applyFill="1" applyBorder="1"/>
    <xf numFmtId="0" fontId="12" fillId="10" borderId="0" xfId="0" applyFont="1" applyFill="1"/>
    <xf numFmtId="0" fontId="17" fillId="2" borderId="0" xfId="0" applyFont="1" applyFill="1" applyAlignment="1">
      <alignment horizontal="center"/>
    </xf>
    <xf numFmtId="4" fontId="17" fillId="2" borderId="20" xfId="0" applyNumberFormat="1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left"/>
    </xf>
    <xf numFmtId="0" fontId="18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20" xfId="0" applyNumberFormat="1" applyFont="1" applyFill="1" applyBorder="1" applyAlignment="1">
      <alignment horizontal="right"/>
    </xf>
    <xf numFmtId="49" fontId="39" fillId="2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right"/>
    </xf>
    <xf numFmtId="49" fontId="19" fillId="2" borderId="19" xfId="0" applyNumberFormat="1" applyFont="1" applyFill="1" applyBorder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2" fontId="40" fillId="2" borderId="0" xfId="0" applyNumberFormat="1" applyFont="1" applyFill="1" applyAlignment="1">
      <alignment horizontal="right"/>
    </xf>
    <xf numFmtId="2" fontId="40" fillId="10" borderId="20" xfId="0" applyNumberFormat="1" applyFont="1" applyFill="1" applyBorder="1" applyAlignment="1">
      <alignment horizontal="left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/>
    </xf>
    <xf numFmtId="4" fontId="5" fillId="10" borderId="0" xfId="0" applyNumberFormat="1" applyFont="1" applyFill="1" applyAlignment="1">
      <alignment horizontal="center"/>
    </xf>
    <xf numFmtId="0" fontId="16" fillId="2" borderId="0" xfId="0" applyFont="1" applyFill="1"/>
    <xf numFmtId="4" fontId="41" fillId="2" borderId="20" xfId="0" applyNumberFormat="1" applyFont="1" applyFill="1" applyBorder="1" applyAlignment="1">
      <alignment horizontal="center"/>
    </xf>
    <xf numFmtId="0" fontId="5" fillId="2" borderId="19" xfId="0" applyFont="1" applyFill="1" applyBorder="1"/>
    <xf numFmtId="0" fontId="5" fillId="2" borderId="0" xfId="0" applyFont="1" applyFill="1" applyAlignment="1">
      <alignment wrapText="1"/>
    </xf>
    <xf numFmtId="4" fontId="3" fillId="2" borderId="20" xfId="0" applyNumberFormat="1" applyFont="1" applyFill="1" applyBorder="1" applyAlignment="1">
      <alignment horizontal="center"/>
    </xf>
    <xf numFmtId="0" fontId="7" fillId="10" borderId="0" xfId="0" applyFont="1" applyFill="1" applyAlignment="1">
      <alignment horizontal="right"/>
    </xf>
    <xf numFmtId="2" fontId="7" fillId="10" borderId="0" xfId="0" applyNumberFormat="1" applyFont="1" applyFill="1" applyAlignment="1">
      <alignment horizontal="center"/>
    </xf>
    <xf numFmtId="4" fontId="7" fillId="10" borderId="20" xfId="0" applyNumberFormat="1" applyFont="1" applyFill="1" applyBorder="1" applyAlignment="1">
      <alignment horizontal="right"/>
    </xf>
    <xf numFmtId="49" fontId="12" fillId="10" borderId="19" xfId="0" applyNumberFormat="1" applyFont="1" applyFill="1" applyBorder="1" applyAlignment="1">
      <alignment horizontal="left"/>
    </xf>
    <xf numFmtId="2" fontId="17" fillId="10" borderId="20" xfId="0" applyNumberFormat="1" applyFont="1" applyFill="1" applyBorder="1" applyAlignment="1">
      <alignment horizontal="right"/>
    </xf>
    <xf numFmtId="0" fontId="19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20" xfId="0" applyNumberFormat="1" applyFont="1" applyFill="1" applyBorder="1" applyAlignment="1">
      <alignment horizontal="right"/>
    </xf>
    <xf numFmtId="49" fontId="12" fillId="10" borderId="19" xfId="0" applyNumberFormat="1" applyFont="1" applyFill="1" applyBorder="1" applyAlignment="1">
      <alignment horizontal="right"/>
    </xf>
    <xf numFmtId="0" fontId="5" fillId="10" borderId="0" xfId="0" applyFont="1" applyFill="1" applyAlignment="1">
      <alignment horizontal="right"/>
    </xf>
    <xf numFmtId="0" fontId="18" fillId="10" borderId="0" xfId="0" applyFont="1" applyFill="1" applyAlignment="1">
      <alignment horizontal="center"/>
    </xf>
    <xf numFmtId="1" fontId="39" fillId="10" borderId="20" xfId="0" applyNumberFormat="1" applyFont="1" applyFill="1" applyBorder="1"/>
    <xf numFmtId="164" fontId="5" fillId="10" borderId="0" xfId="0" applyNumberFormat="1" applyFont="1" applyFill="1" applyAlignment="1">
      <alignment horizontal="right"/>
    </xf>
    <xf numFmtId="2" fontId="18" fillId="10" borderId="0" xfId="0" applyNumberFormat="1" applyFont="1" applyFill="1" applyAlignment="1">
      <alignment horizontal="center"/>
    </xf>
    <xf numFmtId="2" fontId="3" fillId="10" borderId="20" xfId="0" applyNumberFormat="1" applyFont="1" applyFill="1" applyBorder="1"/>
    <xf numFmtId="0" fontId="8" fillId="10" borderId="0" xfId="0" applyFont="1" applyFill="1" applyAlignment="1">
      <alignment horizontal="right"/>
    </xf>
    <xf numFmtId="164" fontId="7" fillId="10" borderId="20" xfId="0" applyNumberFormat="1" applyFont="1" applyFill="1" applyBorder="1" applyAlignment="1">
      <alignment horizontal="right"/>
    </xf>
    <xf numFmtId="4" fontId="9" fillId="10" borderId="20" xfId="0" applyNumberFormat="1" applyFont="1" applyFill="1" applyBorder="1" applyAlignment="1">
      <alignment horizontal="right"/>
    </xf>
    <xf numFmtId="0" fontId="12" fillId="10" borderId="0" xfId="0" applyFont="1" applyFill="1" applyAlignment="1">
      <alignment vertical="center" wrapText="1"/>
    </xf>
    <xf numFmtId="0" fontId="21" fillId="10" borderId="0" xfId="0" applyFont="1" applyFill="1" applyAlignment="1">
      <alignment vertical="top" wrapText="1"/>
    </xf>
    <xf numFmtId="0" fontId="32" fillId="10" borderId="0" xfId="0" applyFont="1" applyFill="1" applyAlignment="1">
      <alignment horizontal="right" vertical="center"/>
    </xf>
    <xf numFmtId="0" fontId="7" fillId="10" borderId="0" xfId="0" applyFont="1" applyFill="1" applyAlignment="1">
      <alignment horizontal="right" vertical="center"/>
    </xf>
    <xf numFmtId="2" fontId="3" fillId="10" borderId="0" xfId="0" applyNumberFormat="1" applyFont="1" applyFill="1" applyAlignment="1">
      <alignment horizontal="center" vertical="center"/>
    </xf>
    <xf numFmtId="2" fontId="7" fillId="10" borderId="0" xfId="0" applyNumberFormat="1" applyFont="1" applyFill="1" applyAlignment="1">
      <alignment horizontal="right" vertical="center"/>
    </xf>
    <xf numFmtId="0" fontId="48" fillId="2" borderId="0" xfId="0" applyFont="1" applyFill="1"/>
    <xf numFmtId="4" fontId="49" fillId="11" borderId="7" xfId="0" applyNumberFormat="1" applyFont="1" applyFill="1" applyBorder="1" applyAlignment="1">
      <alignment horizontal="right" vertical="center"/>
    </xf>
    <xf numFmtId="4" fontId="50" fillId="1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5" xfId="0" applyNumberFormat="1" applyBorder="1"/>
    <xf numFmtId="2" fontId="15" fillId="0" borderId="15" xfId="0" applyNumberFormat="1" applyFont="1" applyBorder="1" applyAlignment="1">
      <alignment horizontal="center"/>
    </xf>
    <xf numFmtId="3" fontId="0" fillId="0" borderId="15" xfId="0" applyNumberFormat="1" applyBorder="1"/>
    <xf numFmtId="3" fontId="5" fillId="10" borderId="0" xfId="0" applyNumberFormat="1" applyFont="1" applyFill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3" fontId="0" fillId="0" borderId="33" xfId="0" applyNumberFormat="1" applyBorder="1"/>
    <xf numFmtId="2" fontId="0" fillId="0" borderId="33" xfId="0" applyNumberFormat="1" applyBorder="1"/>
    <xf numFmtId="2" fontId="0" fillId="0" borderId="33" xfId="0" applyNumberFormat="1" applyBorder="1" applyAlignment="1">
      <alignment horizontal="center"/>
    </xf>
    <xf numFmtId="2" fontId="0" fillId="0" borderId="34" xfId="0" applyNumberFormat="1" applyBorder="1"/>
    <xf numFmtId="0" fontId="0" fillId="0" borderId="35" xfId="0" applyBorder="1" applyAlignment="1">
      <alignment horizontal="center"/>
    </xf>
    <xf numFmtId="2" fontId="0" fillId="0" borderId="36" xfId="0" applyNumberFormat="1" applyBorder="1"/>
    <xf numFmtId="0" fontId="15" fillId="0" borderId="35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3" fontId="0" fillId="0" borderId="38" xfId="0" applyNumberFormat="1" applyBorder="1" applyAlignment="1">
      <alignment horizontal="right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49" fontId="18" fillId="10" borderId="5" xfId="0" applyNumberFormat="1" applyFont="1" applyFill="1" applyBorder="1" applyAlignment="1">
      <alignment horizontal="right"/>
    </xf>
    <xf numFmtId="49" fontId="5" fillId="10" borderId="27" xfId="0" applyNumberFormat="1" applyFont="1" applyFill="1" applyBorder="1" applyAlignment="1">
      <alignment horizontal="left"/>
    </xf>
    <xf numFmtId="0" fontId="5" fillId="10" borderId="9" xfId="0" applyFont="1" applyFill="1" applyBorder="1"/>
    <xf numFmtId="2" fontId="3" fillId="10" borderId="9" xfId="0" applyNumberFormat="1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2" fontId="3" fillId="10" borderId="28" xfId="0" applyNumberFormat="1" applyFont="1" applyFill="1" applyBorder="1" applyAlignment="1">
      <alignment horizontal="right"/>
    </xf>
    <xf numFmtId="49" fontId="5" fillId="10" borderId="21" xfId="0" applyNumberFormat="1" applyFont="1" applyFill="1" applyBorder="1" applyAlignment="1">
      <alignment horizontal="left"/>
    </xf>
    <xf numFmtId="0" fontId="18" fillId="10" borderId="0" xfId="0" applyFont="1" applyFill="1"/>
    <xf numFmtId="2" fontId="12" fillId="10" borderId="0" xfId="0" applyNumberFormat="1" applyFont="1" applyFill="1" applyAlignment="1">
      <alignment horizontal="center"/>
    </xf>
    <xf numFmtId="0" fontId="14" fillId="10" borderId="0" xfId="0" applyFont="1" applyFill="1" applyAlignment="1">
      <alignment horizontal="right"/>
    </xf>
    <xf numFmtId="0" fontId="14" fillId="10" borderId="0" xfId="0" applyFont="1" applyFill="1" applyAlignment="1">
      <alignment horizontal="center"/>
    </xf>
    <xf numFmtId="2" fontId="14" fillId="10" borderId="0" xfId="0" applyNumberFormat="1" applyFont="1" applyFill="1" applyAlignment="1">
      <alignment horizontal="center"/>
    </xf>
    <xf numFmtId="49" fontId="5" fillId="10" borderId="30" xfId="0" applyNumberFormat="1" applyFont="1" applyFill="1" applyBorder="1" applyAlignment="1">
      <alignment horizontal="left"/>
    </xf>
    <xf numFmtId="2" fontId="14" fillId="10" borderId="31" xfId="0" applyNumberFormat="1" applyFont="1" applyFill="1" applyBorder="1" applyAlignment="1">
      <alignment horizontal="right"/>
    </xf>
    <xf numFmtId="0" fontId="14" fillId="10" borderId="9" xfId="0" applyFont="1" applyFill="1" applyBorder="1" applyAlignment="1">
      <alignment horizontal="right"/>
    </xf>
    <xf numFmtId="9" fontId="14" fillId="10" borderId="9" xfId="1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2" fontId="14" fillId="10" borderId="28" xfId="0" applyNumberFormat="1" applyFont="1" applyFill="1" applyBorder="1" applyAlignment="1">
      <alignment horizontal="right"/>
    </xf>
    <xf numFmtId="49" fontId="5" fillId="10" borderId="21" xfId="0" applyNumberFormat="1" applyFont="1" applyFill="1" applyBorder="1" applyAlignment="1">
      <alignment horizontal="left" vertical="top"/>
    </xf>
    <xf numFmtId="0" fontId="5" fillId="10" borderId="0" xfId="0" applyFont="1" applyFill="1" applyAlignment="1">
      <alignment wrapText="1"/>
    </xf>
    <xf numFmtId="0" fontId="19" fillId="10" borderId="0" xfId="0" applyFont="1" applyFill="1" applyAlignment="1">
      <alignment horizontal="center" vertical="top"/>
    </xf>
    <xf numFmtId="0" fontId="12" fillId="10" borderId="0" xfId="0" applyFont="1" applyFill="1" applyAlignment="1">
      <alignment horizontal="center" vertical="top"/>
    </xf>
    <xf numFmtId="2" fontId="12" fillId="10" borderId="29" xfId="0" applyNumberFormat="1" applyFont="1" applyFill="1" applyBorder="1" applyAlignment="1">
      <alignment horizontal="center" vertical="top"/>
    </xf>
    <xf numFmtId="49" fontId="19" fillId="10" borderId="21" xfId="0" applyNumberFormat="1" applyFont="1" applyFill="1" applyBorder="1" applyAlignment="1">
      <alignment horizontal="left" vertical="top"/>
    </xf>
    <xf numFmtId="0" fontId="19" fillId="10" borderId="0" xfId="0" applyFont="1" applyFill="1" applyAlignment="1">
      <alignment wrapText="1"/>
    </xf>
    <xf numFmtId="2" fontId="30" fillId="10" borderId="0" xfId="0" applyNumberFormat="1" applyFont="1" applyFill="1" applyAlignment="1">
      <alignment horizontal="center"/>
    </xf>
    <xf numFmtId="0" fontId="4" fillId="10" borderId="29" xfId="0" applyFont="1" applyFill="1" applyBorder="1" applyAlignment="1">
      <alignment horizontal="right"/>
    </xf>
    <xf numFmtId="0" fontId="28" fillId="10" borderId="0" xfId="0" applyFont="1" applyFill="1" applyAlignment="1">
      <alignment horizontal="center" vertical="center"/>
    </xf>
    <xf numFmtId="2" fontId="12" fillId="10" borderId="29" xfId="0" applyNumberFormat="1" applyFont="1" applyFill="1" applyBorder="1" applyAlignment="1">
      <alignment horizontal="right" vertical="center"/>
    </xf>
    <xf numFmtId="49" fontId="5" fillId="10" borderId="30" xfId="0" applyNumberFormat="1" applyFont="1" applyFill="1" applyBorder="1" applyAlignment="1">
      <alignment horizontal="left" vertical="top"/>
    </xf>
    <xf numFmtId="0" fontId="3" fillId="10" borderId="31" xfId="0" applyFont="1" applyFill="1" applyBorder="1" applyAlignment="1">
      <alignment horizontal="center"/>
    </xf>
    <xf numFmtId="49" fontId="5" fillId="10" borderId="27" xfId="0" applyNumberFormat="1" applyFont="1" applyFill="1" applyBorder="1" applyAlignment="1">
      <alignment horizontal="left" vertical="top"/>
    </xf>
    <xf numFmtId="0" fontId="5" fillId="10" borderId="9" xfId="0" applyFont="1" applyFill="1" applyBorder="1" applyAlignment="1">
      <alignment wrapText="1"/>
    </xf>
    <xf numFmtId="2" fontId="10" fillId="10" borderId="9" xfId="0" applyNumberFormat="1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/>
    </xf>
    <xf numFmtId="0" fontId="5" fillId="10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 wrapText="1"/>
    </xf>
    <xf numFmtId="0" fontId="5" fillId="10" borderId="29" xfId="0" applyFont="1" applyFill="1" applyBorder="1" applyAlignment="1">
      <alignment horizontal="center" vertical="top"/>
    </xf>
    <xf numFmtId="49" fontId="5" fillId="10" borderId="21" xfId="0" applyNumberFormat="1" applyFont="1" applyFill="1" applyBorder="1" applyAlignment="1">
      <alignment horizontal="right" vertical="top"/>
    </xf>
    <xf numFmtId="0" fontId="4" fillId="10" borderId="0" xfId="0" applyFont="1" applyFill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2" fontId="3" fillId="10" borderId="29" xfId="0" applyNumberFormat="1" applyFont="1" applyFill="1" applyBorder="1" applyAlignment="1">
      <alignment horizontal="right"/>
    </xf>
    <xf numFmtId="0" fontId="12" fillId="10" borderId="0" xfId="0" applyFont="1" applyFill="1" applyAlignment="1">
      <alignment horizontal="right"/>
    </xf>
    <xf numFmtId="2" fontId="12" fillId="10" borderId="29" xfId="0" applyNumberFormat="1" applyFont="1" applyFill="1" applyBorder="1" applyAlignment="1">
      <alignment horizontal="right"/>
    </xf>
    <xf numFmtId="49" fontId="5" fillId="10" borderId="30" xfId="0" applyNumberFormat="1" applyFont="1" applyFill="1" applyBorder="1" applyAlignment="1">
      <alignment horizontal="right" vertical="top"/>
    </xf>
    <xf numFmtId="49" fontId="5" fillId="10" borderId="27" xfId="0" applyNumberFormat="1" applyFont="1" applyFill="1" applyBorder="1" applyAlignment="1">
      <alignment horizontal="right" vertical="top"/>
    </xf>
    <xf numFmtId="0" fontId="5" fillId="10" borderId="0" xfId="0" applyFont="1" applyFill="1" applyAlignment="1">
      <alignment horizontal="left" vertical="top"/>
    </xf>
    <xf numFmtId="49" fontId="5" fillId="10" borderId="21" xfId="0" applyNumberFormat="1" applyFont="1" applyFill="1" applyBorder="1" applyAlignment="1">
      <alignment horizontal="right"/>
    </xf>
    <xf numFmtId="49" fontId="19" fillId="10" borderId="30" xfId="0" applyNumberFormat="1" applyFont="1" applyFill="1" applyBorder="1" applyAlignment="1">
      <alignment horizontal="right" vertical="top"/>
    </xf>
    <xf numFmtId="2" fontId="19" fillId="10" borderId="31" xfId="0" applyNumberFormat="1" applyFont="1" applyFill="1" applyBorder="1" applyAlignment="1">
      <alignment horizontal="right"/>
    </xf>
    <xf numFmtId="4" fontId="11" fillId="2" borderId="34" xfId="0" applyNumberFormat="1" applyFont="1" applyFill="1" applyBorder="1" applyAlignment="1">
      <alignment horizontal="right" vertical="center"/>
    </xf>
    <xf numFmtId="4" fontId="45" fillId="2" borderId="42" xfId="0" applyNumberFormat="1" applyFont="1" applyFill="1" applyBorder="1" applyAlignment="1">
      <alignment horizontal="right" vertical="center"/>
    </xf>
    <xf numFmtId="49" fontId="22" fillId="10" borderId="43" xfId="0" applyNumberFormat="1" applyFont="1" applyFill="1" applyBorder="1" applyAlignment="1">
      <alignment horizontal="center" vertical="center"/>
    </xf>
    <xf numFmtId="4" fontId="11" fillId="2" borderId="36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2" fontId="3" fillId="9" borderId="29" xfId="0" applyNumberFormat="1" applyFont="1" applyFill="1" applyBorder="1" applyAlignment="1">
      <alignment horizontal="right"/>
    </xf>
    <xf numFmtId="0" fontId="53" fillId="0" borderId="0" xfId="0" applyFont="1"/>
    <xf numFmtId="0" fontId="54" fillId="0" borderId="0" xfId="0" applyFont="1"/>
    <xf numFmtId="0" fontId="57" fillId="0" borderId="0" xfId="0" applyFont="1"/>
    <xf numFmtId="0" fontId="56" fillId="0" borderId="0" xfId="0" applyFont="1"/>
    <xf numFmtId="0" fontId="55" fillId="0" borderId="0" xfId="0" applyFont="1" applyAlignment="1">
      <alignment horizontal="left" wrapText="1"/>
    </xf>
    <xf numFmtId="0" fontId="56" fillId="0" borderId="0" xfId="0" applyFont="1" applyAlignment="1">
      <alignment horizontal="left" wrapText="1"/>
    </xf>
    <xf numFmtId="0" fontId="55" fillId="0" borderId="0" xfId="0" applyFont="1" applyAlignment="1">
      <alignment horizontal="left" vertical="top" wrapText="1"/>
    </xf>
    <xf numFmtId="0" fontId="18" fillId="10" borderId="0" xfId="0" applyFont="1" applyFill="1" applyAlignment="1">
      <alignment horizontal="left" vertical="top"/>
    </xf>
    <xf numFmtId="4" fontId="5" fillId="10" borderId="29" xfId="0" applyNumberFormat="1" applyFont="1" applyFill="1" applyBorder="1" applyAlignment="1">
      <alignment horizontal="right"/>
    </xf>
    <xf numFmtId="2" fontId="34" fillId="10" borderId="29" xfId="0" applyNumberFormat="1" applyFont="1" applyFill="1" applyBorder="1" applyAlignment="1">
      <alignment horizontal="right"/>
    </xf>
    <xf numFmtId="2" fontId="12" fillId="10" borderId="11" xfId="0" applyNumberFormat="1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2" fontId="5" fillId="10" borderId="11" xfId="0" applyNumberFormat="1" applyFont="1" applyFill="1" applyBorder="1" applyAlignment="1">
      <alignment horizontal="center"/>
    </xf>
    <xf numFmtId="4" fontId="5" fillId="10" borderId="44" xfId="0" applyNumberFormat="1" applyFont="1" applyFill="1" applyBorder="1" applyAlignment="1">
      <alignment horizontal="right"/>
    </xf>
    <xf numFmtId="0" fontId="56" fillId="0" borderId="0" xfId="0" applyFont="1" applyAlignment="1">
      <alignment vertical="top" wrapText="1"/>
    </xf>
    <xf numFmtId="0" fontId="57" fillId="0" borderId="0" xfId="0" applyFont="1" applyAlignment="1">
      <alignment vertical="top" wrapText="1"/>
    </xf>
    <xf numFmtId="0" fontId="57" fillId="0" borderId="0" xfId="0" applyFont="1" applyAlignment="1">
      <alignment wrapText="1"/>
    </xf>
    <xf numFmtId="0" fontId="58" fillId="2" borderId="47" xfId="0" applyFont="1" applyFill="1" applyBorder="1" applyAlignment="1">
      <alignment horizontal="center" vertical="center"/>
    </xf>
    <xf numFmtId="0" fontId="58" fillId="2" borderId="48" xfId="0" applyFont="1" applyFill="1" applyBorder="1" applyAlignment="1">
      <alignment horizontal="center" vertical="center"/>
    </xf>
    <xf numFmtId="0" fontId="58" fillId="2" borderId="48" xfId="0" applyFont="1" applyFill="1" applyBorder="1" applyAlignment="1">
      <alignment horizontal="center" wrapText="1"/>
    </xf>
    <xf numFmtId="0" fontId="58" fillId="10" borderId="49" xfId="0" applyFont="1" applyFill="1" applyBorder="1" applyAlignment="1">
      <alignment horizontal="center"/>
    </xf>
    <xf numFmtId="0" fontId="58" fillId="0" borderId="32" xfId="0" applyFont="1" applyBorder="1" applyAlignment="1">
      <alignment vertical="center"/>
    </xf>
    <xf numFmtId="0" fontId="59" fillId="0" borderId="33" xfId="0" applyFont="1" applyBorder="1" applyAlignment="1">
      <alignment vertical="center"/>
    </xf>
    <xf numFmtId="0" fontId="59" fillId="0" borderId="34" xfId="0" applyFont="1" applyBorder="1" applyAlignment="1">
      <alignment vertical="center"/>
    </xf>
    <xf numFmtId="0" fontId="58" fillId="0" borderId="35" xfId="0" applyFont="1" applyBorder="1" applyAlignment="1">
      <alignment vertical="center"/>
    </xf>
    <xf numFmtId="0" fontId="59" fillId="0" borderId="15" xfId="0" applyFont="1" applyBorder="1" applyAlignment="1">
      <alignment vertical="center" wrapText="1"/>
    </xf>
    <xf numFmtId="0" fontId="59" fillId="0" borderId="15" xfId="0" applyFont="1" applyBorder="1" applyAlignment="1">
      <alignment vertical="center"/>
    </xf>
    <xf numFmtId="0" fontId="59" fillId="0" borderId="36" xfId="0" applyFont="1" applyBorder="1" applyAlignment="1">
      <alignment vertical="center"/>
    </xf>
    <xf numFmtId="0" fontId="58" fillId="0" borderId="37" xfId="0" applyFont="1" applyBorder="1" applyAlignment="1">
      <alignment vertical="center"/>
    </xf>
    <xf numFmtId="0" fontId="59" fillId="0" borderId="38" xfId="0" applyFont="1" applyBorder="1" applyAlignment="1">
      <alignment vertical="center"/>
    </xf>
    <xf numFmtId="0" fontId="59" fillId="0" borderId="39" xfId="0" applyFont="1" applyBorder="1" applyAlignment="1">
      <alignment vertical="center"/>
    </xf>
    <xf numFmtId="0" fontId="12" fillId="10" borderId="37" xfId="0" applyFont="1" applyFill="1" applyBorder="1" applyAlignment="1">
      <alignment horizontal="center"/>
    </xf>
    <xf numFmtId="0" fontId="17" fillId="10" borderId="39" xfId="0" applyFont="1" applyFill="1" applyBorder="1" applyAlignment="1">
      <alignment horizontal="center"/>
    </xf>
    <xf numFmtId="0" fontId="17" fillId="0" borderId="32" xfId="0" applyFont="1" applyBorder="1" applyAlignment="1">
      <alignment horizontal="center"/>
    </xf>
    <xf numFmtId="3" fontId="17" fillId="0" borderId="50" xfId="0" applyNumberFormat="1" applyFont="1" applyBorder="1"/>
    <xf numFmtId="2" fontId="17" fillId="0" borderId="45" xfId="0" applyNumberFormat="1" applyFont="1" applyBorder="1"/>
    <xf numFmtId="2" fontId="17" fillId="0" borderId="46" xfId="0" applyNumberFormat="1" applyFont="1" applyBorder="1"/>
    <xf numFmtId="2" fontId="17" fillId="0" borderId="45" xfId="0" applyNumberFormat="1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3" fontId="17" fillId="0" borderId="23" xfId="0" applyNumberFormat="1" applyFont="1" applyBorder="1"/>
    <xf numFmtId="2" fontId="17" fillId="0" borderId="35" xfId="0" applyNumberFormat="1" applyFont="1" applyBorder="1"/>
    <xf numFmtId="3" fontId="17" fillId="0" borderId="36" xfId="0" applyNumberFormat="1" applyFont="1" applyBorder="1"/>
    <xf numFmtId="2" fontId="17" fillId="0" borderId="35" xfId="0" applyNumberFormat="1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3" fontId="17" fillId="0" borderId="56" xfId="0" applyNumberFormat="1" applyFont="1" applyBorder="1"/>
    <xf numFmtId="2" fontId="17" fillId="0" borderId="37" xfId="0" applyNumberFormat="1" applyFont="1" applyBorder="1"/>
    <xf numFmtId="3" fontId="17" fillId="0" borderId="39" xfId="0" applyNumberFormat="1" applyFont="1" applyBorder="1"/>
    <xf numFmtId="2" fontId="17" fillId="0" borderId="3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9" borderId="17" xfId="0" applyFont="1" applyFill="1" applyBorder="1" applyAlignment="1">
      <alignment horizontal="left"/>
    </xf>
    <xf numFmtId="0" fontId="17" fillId="9" borderId="13" xfId="0" applyFont="1" applyFill="1" applyBorder="1" applyAlignment="1">
      <alignment horizontal="left"/>
    </xf>
    <xf numFmtId="0" fontId="17" fillId="9" borderId="18" xfId="0" applyFont="1" applyFill="1" applyBorder="1" applyAlignment="1">
      <alignment horizontal="left"/>
    </xf>
    <xf numFmtId="0" fontId="12" fillId="9" borderId="19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0" fontId="17" fillId="9" borderId="2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9" borderId="0" xfId="0" applyFont="1" applyFill="1" applyAlignment="1">
      <alignment horizontal="left"/>
    </xf>
    <xf numFmtId="0" fontId="12" fillId="9" borderId="20" xfId="0" applyFont="1" applyFill="1" applyBorder="1" applyAlignment="1">
      <alignment horizontal="left"/>
    </xf>
    <xf numFmtId="0" fontId="18" fillId="9" borderId="8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46" fillId="11" borderId="30" xfId="0" applyFont="1" applyFill="1" applyBorder="1" applyAlignment="1">
      <alignment horizontal="center" vertical="center" wrapText="1"/>
    </xf>
    <xf numFmtId="0" fontId="46" fillId="11" borderId="25" xfId="0" applyFont="1" applyFill="1" applyBorder="1" applyAlignment="1">
      <alignment horizontal="center" vertical="center" wrapText="1"/>
    </xf>
    <xf numFmtId="0" fontId="46" fillId="11" borderId="3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9" fontId="18" fillId="10" borderId="32" xfId="0" applyNumberFormat="1" applyFont="1" applyFill="1" applyBorder="1" applyAlignment="1">
      <alignment horizontal="right" vertical="center"/>
    </xf>
    <xf numFmtId="49" fontId="18" fillId="10" borderId="33" xfId="0" applyNumberFormat="1" applyFont="1" applyFill="1" applyBorder="1" applyAlignment="1">
      <alignment horizontal="right" vertical="center"/>
    </xf>
    <xf numFmtId="0" fontId="13" fillId="9" borderId="23" xfId="0" applyFont="1" applyFill="1" applyBorder="1" applyAlignment="1">
      <alignment horizontal="right" vertical="center"/>
    </xf>
    <xf numFmtId="0" fontId="13" fillId="9" borderId="12" xfId="0" applyFont="1" applyFill="1" applyBorder="1" applyAlignment="1">
      <alignment horizontal="right" vertical="center"/>
    </xf>
    <xf numFmtId="49" fontId="18" fillId="10" borderId="41" xfId="0" applyNumberFormat="1" applyFont="1" applyFill="1" applyBorder="1" applyAlignment="1">
      <alignment horizontal="right" vertical="center"/>
    </xf>
    <xf numFmtId="49" fontId="18" fillId="10" borderId="12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right" vertical="center" wrapText="1"/>
    </xf>
    <xf numFmtId="0" fontId="52" fillId="9" borderId="0" xfId="0" applyFont="1" applyFill="1" applyAlignment="1">
      <alignment horizontal="left" vertical="center" wrapText="1"/>
    </xf>
    <xf numFmtId="0" fontId="36" fillId="9" borderId="8" xfId="0" applyFont="1" applyFill="1" applyBorder="1" applyAlignment="1">
      <alignment horizontal="center"/>
    </xf>
    <xf numFmtId="0" fontId="36" fillId="9" borderId="10" xfId="0" applyFont="1" applyFill="1" applyBorder="1" applyAlignment="1">
      <alignment horizontal="center"/>
    </xf>
    <xf numFmtId="0" fontId="36" fillId="9" borderId="6" xfId="0" applyFont="1" applyFill="1" applyBorder="1" applyAlignment="1">
      <alignment horizontal="center"/>
    </xf>
    <xf numFmtId="0" fontId="17" fillId="10" borderId="57" xfId="0" applyFont="1" applyFill="1" applyBorder="1" applyAlignment="1">
      <alignment horizontal="center" vertical="center"/>
    </xf>
    <xf numFmtId="0" fontId="17" fillId="10" borderId="52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10" borderId="0" xfId="0" applyFont="1" applyFill="1" applyAlignment="1">
      <alignment horizontal="center"/>
    </xf>
    <xf numFmtId="0" fontId="34" fillId="10" borderId="0" xfId="0" applyFont="1" applyFill="1" applyAlignment="1">
      <alignment horizontal="center"/>
    </xf>
    <xf numFmtId="0" fontId="4" fillId="0" borderId="15" xfId="0" applyFont="1" applyBorder="1" applyAlignment="1">
      <alignment vertical="top"/>
    </xf>
    <xf numFmtId="2" fontId="12" fillId="6" borderId="15" xfId="0" applyNumberFormat="1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1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5" fillId="2" borderId="2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/>
    </xf>
    <xf numFmtId="0" fontId="5" fillId="10" borderId="24" xfId="0" applyFont="1" applyFill="1" applyBorder="1" applyAlignment="1">
      <alignment horizontal="center"/>
    </xf>
    <xf numFmtId="14" fontId="5" fillId="10" borderId="23" xfId="0" applyNumberFormat="1" applyFont="1" applyFill="1" applyBorder="1" applyAlignment="1">
      <alignment horizontal="center"/>
    </xf>
    <xf numFmtId="14" fontId="5" fillId="10" borderId="24" xfId="0" applyNumberFormat="1" applyFont="1" applyFill="1" applyBorder="1" applyAlignment="1">
      <alignment horizontal="center"/>
    </xf>
    <xf numFmtId="14" fontId="34" fillId="2" borderId="0" xfId="0" applyNumberFormat="1" applyFont="1" applyFill="1" applyAlignment="1">
      <alignment horizontal="center"/>
    </xf>
    <xf numFmtId="0" fontId="34" fillId="10" borderId="0" xfId="0" applyFont="1" applyFill="1" applyAlignment="1">
      <alignment horizontal="center" vertical="top"/>
    </xf>
    <xf numFmtId="0" fontId="34" fillId="0" borderId="0" xfId="0" applyFont="1" applyAlignment="1">
      <alignment horizontal="left"/>
    </xf>
    <xf numFmtId="0" fontId="34" fillId="0" borderId="20" xfId="0" applyFont="1" applyBorder="1" applyAlignment="1">
      <alignment horizontal="left"/>
    </xf>
    <xf numFmtId="0" fontId="34" fillId="2" borderId="23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4" fillId="2" borderId="24" xfId="0" applyFont="1" applyFill="1" applyBorder="1" applyAlignment="1">
      <alignment horizontal="center"/>
    </xf>
    <xf numFmtId="0" fontId="34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34" fillId="0" borderId="0" xfId="0" applyFont="1" applyAlignment="1">
      <alignment horizontal="left" vertical="top"/>
    </xf>
    <xf numFmtId="0" fontId="3" fillId="9" borderId="0" xfId="0" applyFont="1" applyFill="1" applyAlignment="1">
      <alignment horizontal="left"/>
    </xf>
    <xf numFmtId="0" fontId="11" fillId="2" borderId="23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9" borderId="23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5" fillId="9" borderId="24" xfId="0" applyFont="1" applyFill="1" applyBorder="1" applyAlignment="1">
      <alignment horizontal="center"/>
    </xf>
    <xf numFmtId="14" fontId="5" fillId="9" borderId="23" xfId="0" applyNumberFormat="1" applyFont="1" applyFill="1" applyBorder="1" applyAlignment="1">
      <alignment horizontal="center"/>
    </xf>
    <xf numFmtId="14" fontId="5" fillId="9" borderId="24" xfId="0" applyNumberFormat="1" applyFont="1" applyFill="1" applyBorder="1" applyAlignment="1">
      <alignment horizontal="center"/>
    </xf>
    <xf numFmtId="0" fontId="34" fillId="9" borderId="23" xfId="0" applyFont="1" applyFill="1" applyBorder="1" applyAlignment="1">
      <alignment horizontal="center"/>
    </xf>
    <xf numFmtId="0" fontId="34" fillId="9" borderId="2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1" fillId="10" borderId="15" xfId="0" applyNumberFormat="1" applyFont="1" applyFill="1" applyBorder="1" applyAlignment="1">
      <alignment horizontal="right"/>
    </xf>
    <xf numFmtId="2" fontId="1" fillId="10" borderId="15" xfId="0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CCFFCC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bg-BG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bg-BG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DataHon!$B$34:$B$56</c:f>
              <c:numCache>
                <c:formatCode>#,##0</c:formatCode>
                <c:ptCount val="23"/>
                <c:pt idx="0">
                  <c:v>0</c:v>
                </c:pt>
                <c:pt idx="1">
                  <c:v>25000</c:v>
                </c:pt>
                <c:pt idx="2">
                  <c:v>50000</c:v>
                </c:pt>
                <c:pt idx="3">
                  <c:v>75000</c:v>
                </c:pt>
                <c:pt idx="4">
                  <c:v>100000</c:v>
                </c:pt>
                <c:pt idx="5">
                  <c:v>125000</c:v>
                </c:pt>
                <c:pt idx="6">
                  <c:v>150000</c:v>
                </c:pt>
                <c:pt idx="7">
                  <c:v>175000</c:v>
                </c:pt>
                <c:pt idx="8">
                  <c:v>200000</c:v>
                </c:pt>
                <c:pt idx="9">
                  <c:v>225000</c:v>
                </c:pt>
                <c:pt idx="10">
                  <c:v>250000</c:v>
                </c:pt>
                <c:pt idx="11">
                  <c:v>500000</c:v>
                </c:pt>
                <c:pt idx="12">
                  <c:v>750000</c:v>
                </c:pt>
                <c:pt idx="13">
                  <c:v>1000000</c:v>
                </c:pt>
                <c:pt idx="14">
                  <c:v>1250000</c:v>
                </c:pt>
                <c:pt idx="15">
                  <c:v>1875000</c:v>
                </c:pt>
                <c:pt idx="16">
                  <c:v>2500000</c:v>
                </c:pt>
                <c:pt idx="17">
                  <c:v>3750000</c:v>
                </c:pt>
                <c:pt idx="18">
                  <c:v>5000000</c:v>
                </c:pt>
                <c:pt idx="19">
                  <c:v>7500000</c:v>
                </c:pt>
                <c:pt idx="20">
                  <c:v>12500000</c:v>
                </c:pt>
                <c:pt idx="21">
                  <c:v>18750000</c:v>
                </c:pt>
                <c:pt idx="22">
                  <c:v>25000000</c:v>
                </c:pt>
              </c:numCache>
            </c:numRef>
          </c:cat>
          <c:val>
            <c:numRef>
              <c:f>DataHon!$E$34:$E$56</c:f>
              <c:numCache>
                <c:formatCode>0.00</c:formatCode>
                <c:ptCount val="23"/>
                <c:pt idx="0">
                  <c:v>4.4000000000000004</c:v>
                </c:pt>
                <c:pt idx="1">
                  <c:v>4.0999999999999996</c:v>
                </c:pt>
                <c:pt idx="2">
                  <c:v>3.85</c:v>
                </c:pt>
                <c:pt idx="3">
                  <c:v>3.65</c:v>
                </c:pt>
                <c:pt idx="4">
                  <c:v>3.48</c:v>
                </c:pt>
                <c:pt idx="5">
                  <c:v>3.3</c:v>
                </c:pt>
                <c:pt idx="6">
                  <c:v>3.15</c:v>
                </c:pt>
                <c:pt idx="7">
                  <c:v>3.03</c:v>
                </c:pt>
                <c:pt idx="8">
                  <c:v>2.9</c:v>
                </c:pt>
                <c:pt idx="9">
                  <c:v>2.8</c:v>
                </c:pt>
                <c:pt idx="10">
                  <c:v>2.7</c:v>
                </c:pt>
                <c:pt idx="11">
                  <c:v>2.6</c:v>
                </c:pt>
                <c:pt idx="12">
                  <c:v>2.5</c:v>
                </c:pt>
                <c:pt idx="13">
                  <c:v>2.39</c:v>
                </c:pt>
                <c:pt idx="14">
                  <c:v>2.2999999999999998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2.02</c:v>
                </c:pt>
                <c:pt idx="18">
                  <c:v>1.93</c:v>
                </c:pt>
                <c:pt idx="19">
                  <c:v>1.83</c:v>
                </c:pt>
                <c:pt idx="20">
                  <c:v>1.75</c:v>
                </c:pt>
                <c:pt idx="21">
                  <c:v>1.66</c:v>
                </c:pt>
                <c:pt idx="22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6-466C-A59E-FCB7B6F3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51376"/>
        <c:axId val="348453176"/>
      </c:lineChart>
      <c:catAx>
        <c:axId val="3484513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348453176"/>
        <c:crosses val="autoZero"/>
        <c:auto val="1"/>
        <c:lblAlgn val="ctr"/>
        <c:lblOffset val="100"/>
        <c:noMultiLvlLbl val="0"/>
      </c:catAx>
      <c:valAx>
        <c:axId val="34845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34845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21" dropStyle="combo" dx="16" fmlaLink="$A$17" fmlaRange="DataHon!$B$3:$B$19" sel="1" val="0"/>
</file>

<file path=xl/ctrlProps/ctrlProp2.xml><?xml version="1.0" encoding="utf-8"?>
<formControlPr xmlns="http://schemas.microsoft.com/office/spreadsheetml/2009/9/main" objectType="Drop" dropLines="5" dropStyle="combo" dx="16" fmlaLink="A26" fmlaRange="DataHon!B23:B27" sel="3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22860</xdr:rowOff>
        </xdr:from>
        <xdr:to>
          <xdr:col>3</xdr:col>
          <xdr:colOff>441960</xdr:colOff>
          <xdr:row>17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114300</xdr:rowOff>
        </xdr:from>
        <xdr:to>
          <xdr:col>3</xdr:col>
          <xdr:colOff>426720</xdr:colOff>
          <xdr:row>26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-1</xdr:colOff>
      <xdr:row>31</xdr:row>
      <xdr:rowOff>-1</xdr:rowOff>
    </xdr:from>
    <xdr:to>
      <xdr:col>19</xdr:col>
      <xdr:colOff>326572</xdr:colOff>
      <xdr:row>56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C706E-6F90-F956-FD8A-D4903C99C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18"/>
  <sheetViews>
    <sheetView tabSelected="1" zoomScale="140" zoomScaleNormal="140" workbookViewId="0">
      <selection activeCell="A9" sqref="A9:F9"/>
    </sheetView>
  </sheetViews>
  <sheetFormatPr defaultRowHeight="13.2" x14ac:dyDescent="0.25"/>
  <cols>
    <col min="1" max="1" width="7" style="16" customWidth="1"/>
    <col min="2" max="2" width="46.44140625" customWidth="1"/>
    <col min="3" max="3" width="6.33203125" style="1" customWidth="1"/>
    <col min="4" max="4" width="10.21875" style="1" bestFit="1" customWidth="1"/>
    <col min="5" max="5" width="8.44140625" style="1" customWidth="1"/>
    <col min="6" max="6" width="15.33203125" style="1" bestFit="1" customWidth="1"/>
  </cols>
  <sheetData>
    <row r="1" spans="1:6" ht="15.6" x14ac:dyDescent="0.3">
      <c r="A1" s="381" t="s">
        <v>83</v>
      </c>
      <c r="B1" s="382"/>
      <c r="C1" s="382"/>
      <c r="D1" s="382"/>
      <c r="E1" s="382"/>
      <c r="F1" s="383"/>
    </row>
    <row r="2" spans="1:6" ht="15.6" x14ac:dyDescent="0.3">
      <c r="A2" s="384" t="s">
        <v>84</v>
      </c>
      <c r="B2" s="385"/>
      <c r="C2" s="385"/>
      <c r="D2" s="385"/>
      <c r="E2" s="385"/>
      <c r="F2" s="386"/>
    </row>
    <row r="3" spans="1:6" ht="15.6" x14ac:dyDescent="0.3">
      <c r="A3" s="384" t="s">
        <v>79</v>
      </c>
      <c r="B3" s="389"/>
      <c r="C3" s="389"/>
      <c r="D3" s="389"/>
      <c r="E3" s="389"/>
      <c r="F3" s="390"/>
    </row>
    <row r="4" spans="1:6" ht="15.6" x14ac:dyDescent="0.3">
      <c r="A4" s="384"/>
      <c r="B4" s="385"/>
      <c r="C4" s="385"/>
      <c r="D4" s="385"/>
      <c r="E4" s="385"/>
      <c r="F4" s="386"/>
    </row>
    <row r="5" spans="1:6" ht="15.6" x14ac:dyDescent="0.3">
      <c r="A5" s="193"/>
      <c r="B5" s="194"/>
      <c r="C5" s="194"/>
      <c r="D5" s="194"/>
      <c r="E5" s="194"/>
      <c r="F5" s="195"/>
    </row>
    <row r="6" spans="1:6" ht="16.2" thickBot="1" x14ac:dyDescent="0.35">
      <c r="A6" s="196" t="s">
        <v>80</v>
      </c>
      <c r="B6" s="197"/>
      <c r="C6" s="197"/>
      <c r="D6" s="197"/>
      <c r="E6" s="197"/>
      <c r="F6" s="198" t="s">
        <v>85</v>
      </c>
    </row>
    <row r="7" spans="1:6" ht="16.2" thickBot="1" x14ac:dyDescent="0.35">
      <c r="A7" s="199" t="s">
        <v>70</v>
      </c>
      <c r="B7" s="200" t="s">
        <v>209</v>
      </c>
      <c r="C7" s="201"/>
      <c r="D7" s="88" t="s">
        <v>66</v>
      </c>
      <c r="E7" s="391" t="s">
        <v>210</v>
      </c>
      <c r="F7" s="392"/>
    </row>
    <row r="8" spans="1:6" ht="6.6" customHeight="1" x14ac:dyDescent="0.3">
      <c r="A8" s="29"/>
      <c r="B8" s="30"/>
      <c r="C8" s="30"/>
      <c r="D8" s="30"/>
      <c r="E8" s="30"/>
      <c r="F8" s="30"/>
    </row>
    <row r="9" spans="1:6" ht="20.399999999999999" x14ac:dyDescent="0.35">
      <c r="A9" s="387" t="s">
        <v>0</v>
      </c>
      <c r="B9" s="387"/>
      <c r="C9" s="387"/>
      <c r="D9" s="387"/>
      <c r="E9" s="387"/>
      <c r="F9" s="387"/>
    </row>
    <row r="10" spans="1:6" x14ac:dyDescent="0.25">
      <c r="A10" s="380" t="s">
        <v>1</v>
      </c>
      <c r="B10" s="380"/>
      <c r="C10" s="380"/>
      <c r="D10" s="380"/>
      <c r="E10" s="380"/>
      <c r="F10" s="380"/>
    </row>
    <row r="11" spans="1:6" ht="42" customHeight="1" x14ac:dyDescent="0.25">
      <c r="A11" s="388" t="s">
        <v>73</v>
      </c>
      <c r="B11" s="388"/>
      <c r="C11" s="388"/>
      <c r="D11" s="388"/>
      <c r="E11" s="388"/>
      <c r="F11" s="388"/>
    </row>
    <row r="12" spans="1:6" x14ac:dyDescent="0.25">
      <c r="A12" s="380" t="s">
        <v>211</v>
      </c>
      <c r="B12" s="380"/>
      <c r="C12" s="380"/>
      <c r="D12" s="380"/>
      <c r="E12" s="380"/>
      <c r="F12" s="380"/>
    </row>
    <row r="13" spans="1:6" ht="6.6" customHeight="1" x14ac:dyDescent="0.25">
      <c r="A13" s="15"/>
      <c r="B13" s="8"/>
      <c r="C13" s="9"/>
      <c r="D13" s="9"/>
      <c r="E13" s="9"/>
      <c r="F13" s="31"/>
    </row>
    <row r="14" spans="1:6" ht="17.399999999999999" x14ac:dyDescent="0.3">
      <c r="A14" s="202" t="s">
        <v>33</v>
      </c>
      <c r="B14" s="203" t="s">
        <v>219</v>
      </c>
      <c r="C14" s="203"/>
      <c r="D14" s="203"/>
      <c r="E14" s="203"/>
      <c r="F14" s="204"/>
    </row>
    <row r="15" spans="1:6" s="80" customFormat="1" ht="15.6" x14ac:dyDescent="0.3">
      <c r="A15" s="205" t="s">
        <v>34</v>
      </c>
      <c r="B15" s="206" t="s">
        <v>31</v>
      </c>
      <c r="C15" s="188"/>
      <c r="D15" s="181"/>
      <c r="E15" s="207"/>
      <c r="F15" s="208"/>
    </row>
    <row r="16" spans="1:6" s="80" customFormat="1" ht="16.2" thickBot="1" x14ac:dyDescent="0.35">
      <c r="A16" s="209" t="s">
        <v>35</v>
      </c>
      <c r="B16" s="210" t="s">
        <v>223</v>
      </c>
      <c r="C16" s="43"/>
      <c r="D16" s="43"/>
      <c r="E16" s="211"/>
      <c r="F16" s="212"/>
    </row>
    <row r="17" spans="1:6" s="80" customFormat="1" ht="21.6" customHeight="1" thickBot="1" x14ac:dyDescent="0.35">
      <c r="A17" s="213">
        <v>1</v>
      </c>
      <c r="B17" s="214"/>
      <c r="C17" s="43"/>
      <c r="D17" s="215" t="s">
        <v>220</v>
      </c>
      <c r="E17" s="147">
        <f>INDEX(DataHon!C3:'DataHon'!C19,A17)</f>
        <v>200</v>
      </c>
      <c r="F17" s="212"/>
    </row>
    <row r="18" spans="1:6" s="80" customFormat="1" ht="12" x14ac:dyDescent="0.25">
      <c r="A18" s="216"/>
      <c r="B18" s="217"/>
      <c r="C18" s="218"/>
      <c r="D18" s="218"/>
      <c r="E18" s="219" t="s">
        <v>218</v>
      </c>
      <c r="F18" s="220" t="str">
        <f>INDEX(DataHon!D3:'DataHon'!D19,A17)</f>
        <v>кв.м.</v>
      </c>
    </row>
    <row r="19" spans="1:6" ht="16.5" customHeight="1" x14ac:dyDescent="0.3">
      <c r="A19" s="209" t="s">
        <v>36</v>
      </c>
      <c r="B19" s="221" t="str">
        <f>IF(OR($A$17=1,$A$17=2,$A$17=3,$A$17=4,$A$17=5,$A$17=6,$A$17=7,$A$17=8,$A$17=9,$A$17=11,$A$17=12),"РЗП на строежа по архитектурен проект:",IF(OR($A$17=10,$A$17=15),"Височина/Дължина на съоръжението/елемента:",IF(OR($A$17=13,$A$17=16,$A$17=17),"Площ на съоръжението:",IF($A$17=14,"Обем на съоръжението:"," "))))</f>
        <v>РЗП на строежа по архитектурен проект:</v>
      </c>
      <c r="C19" s="222"/>
      <c r="D19" s="223">
        <v>600</v>
      </c>
      <c r="E19" s="224" t="str">
        <f>IF(OR($A$17=1,$A$17=2,$A$17=3,$A$17=4,$A$17=5,$A$17=6,$A$17=7,$A$17=8,$A$17=9,$A$17=11,$A$17=12,$A$17=13,$A$17=16,$A$17=17),"кв.м.",IF(OR($A$17=10,$A$17=15),"лин.м.",IF($A$17=14,"куб.м."," ")))</f>
        <v>кв.м.</v>
      </c>
      <c r="F19" s="225" t="s">
        <v>224</v>
      </c>
    </row>
    <row r="20" spans="1:6" ht="16.5" customHeight="1" x14ac:dyDescent="0.3">
      <c r="A20" s="226" t="str">
        <f>IF(OR($A$17=1,$A$17=2,$A$17=3,$A$17=8),"1.1.3."," ")</f>
        <v>1.1.3.</v>
      </c>
      <c r="B20" s="221" t="str">
        <f>IF(OR($A$17=1,$A$17=2,$A$17=3,$A$17=8),"Площ на сутеренни и подземни нива:"," ")</f>
        <v>Площ на сутеренни и подземни нива:</v>
      </c>
      <c r="C20" s="43"/>
      <c r="D20" s="223">
        <v>200</v>
      </c>
      <c r="E20" s="224" t="str">
        <f>IF(OR($A$17=1,$A$17=2,$A$17=3,$A$17=8),"кв.м."," ")</f>
        <v>кв.м.</v>
      </c>
      <c r="F20" s="225" t="s">
        <v>221</v>
      </c>
    </row>
    <row r="21" spans="1:6" ht="16.5" customHeight="1" x14ac:dyDescent="0.3">
      <c r="A21" s="226" t="str">
        <f>IF(OR($A$17=1,$A$17=2,$A$17=3,$A$17=8),"1.1.4."," ")</f>
        <v>1.1.4.</v>
      </c>
      <c r="B21" s="221" t="str">
        <f>IF(OR($A$17=1,$A$17=2,$A$17=3,$A$17=8),"Площ на покривна конструкция:"," ")</f>
        <v>Площ на покривна конструкция:</v>
      </c>
      <c r="C21" s="43"/>
      <c r="D21" s="223">
        <v>200</v>
      </c>
      <c r="E21" s="224" t="str">
        <f>IF(OR($A$17=1,$A$17=2,$A$17=3,$A$17=8),"кв.м."," ")</f>
        <v>кв.м.</v>
      </c>
      <c r="F21" s="225" t="s">
        <v>221</v>
      </c>
    </row>
    <row r="22" spans="1:6" ht="29.4" x14ac:dyDescent="0.3">
      <c r="A22" s="209"/>
      <c r="B22" s="227" t="s">
        <v>222</v>
      </c>
      <c r="C22" s="43"/>
      <c r="D22" s="255">
        <f>SUM(D19:D21)</f>
        <v>1000</v>
      </c>
      <c r="E22" s="253" t="str">
        <f>IF(OR($A$17=1,$A$17=2,$A$17=3,$A$17=4,$A$17=5,$A$17=6,$A$17=7,$A$17=8,$A$17=9,$A$17=11,$A$17=12,$A$17=13,$A$17=16,$A$17=17),"кв.м.",IF(OR($A$17=10,$A$17=15),"лин.м.",IF($A$17=14,"куб.м."," ")))</f>
        <v>кв.м.</v>
      </c>
      <c r="F22" s="228"/>
    </row>
    <row r="23" spans="1:6" ht="16.8" customHeight="1" x14ac:dyDescent="0.3">
      <c r="A23" s="76"/>
      <c r="B23" s="44"/>
      <c r="C23" s="164"/>
      <c r="D23" s="229" t="s">
        <v>228</v>
      </c>
      <c r="E23" s="230" t="s">
        <v>216</v>
      </c>
      <c r="F23" s="231">
        <f>D22*E17</f>
        <v>200000</v>
      </c>
    </row>
    <row r="24" spans="1:6" ht="18.75" customHeight="1" x14ac:dyDescent="0.3">
      <c r="A24" s="232" t="s">
        <v>37</v>
      </c>
      <c r="B24" s="206" t="s">
        <v>25</v>
      </c>
      <c r="C24" s="188"/>
      <c r="D24" s="188"/>
      <c r="E24" s="189"/>
      <c r="F24" s="233"/>
    </row>
    <row r="25" spans="1:6" ht="9" customHeight="1" x14ac:dyDescent="0.25">
      <c r="A25" s="216"/>
      <c r="B25" s="234"/>
      <c r="C25" s="218"/>
      <c r="D25" s="218"/>
      <c r="E25" s="235"/>
      <c r="F25" s="236"/>
    </row>
    <row r="26" spans="1:6" ht="21.75" customHeight="1" x14ac:dyDescent="0.25">
      <c r="A26" s="213">
        <v>3</v>
      </c>
      <c r="B26" s="214"/>
      <c r="C26" s="43"/>
      <c r="D26" s="43"/>
      <c r="E26" s="211"/>
      <c r="F26" s="212"/>
    </row>
    <row r="27" spans="1:6" ht="9" customHeight="1" x14ac:dyDescent="0.25">
      <c r="A27" s="216"/>
      <c r="B27" s="217"/>
      <c r="C27" s="218"/>
      <c r="D27" s="218"/>
      <c r="E27" s="235"/>
      <c r="F27" s="236"/>
    </row>
    <row r="28" spans="1:6" ht="15.6" x14ac:dyDescent="0.3">
      <c r="A28" s="232" t="s">
        <v>38</v>
      </c>
      <c r="B28" s="206" t="s">
        <v>225</v>
      </c>
      <c r="C28" s="164"/>
      <c r="D28" s="164"/>
      <c r="E28" s="167"/>
      <c r="F28" s="75"/>
    </row>
    <row r="29" spans="1:6" ht="15.6" x14ac:dyDescent="0.3">
      <c r="A29" s="237"/>
      <c r="B29" s="206" t="s">
        <v>226</v>
      </c>
      <c r="C29" s="164"/>
      <c r="D29" s="164"/>
      <c r="E29" s="167"/>
      <c r="F29" s="75"/>
    </row>
    <row r="30" spans="1:6" x14ac:dyDescent="0.25">
      <c r="A30" s="154" t="s">
        <v>39</v>
      </c>
      <c r="B30" s="238" t="s">
        <v>110</v>
      </c>
      <c r="C30" s="190"/>
      <c r="D30" s="260">
        <f>INDEX(DataHon!B34:'DataHon'!B57,F30)</f>
        <v>200000</v>
      </c>
      <c r="E30" s="239" t="s">
        <v>216</v>
      </c>
      <c r="F30" s="240">
        <f>MATCH(F23,DataHon!B34:'DataHon'!B57)</f>
        <v>9</v>
      </c>
    </row>
    <row r="31" spans="1:6" x14ac:dyDescent="0.25">
      <c r="A31" s="154" t="s">
        <v>40</v>
      </c>
      <c r="B31" s="238" t="s">
        <v>111</v>
      </c>
      <c r="C31" s="190"/>
      <c r="D31" s="260">
        <f>INDEX(DataHon!B34:'DataHon'!B57,F31)</f>
        <v>225000</v>
      </c>
      <c r="E31" s="239" t="s">
        <v>216</v>
      </c>
      <c r="F31" s="240">
        <f>F30+1</f>
        <v>10</v>
      </c>
    </row>
    <row r="32" spans="1:6" x14ac:dyDescent="0.25">
      <c r="A32" s="154" t="s">
        <v>108</v>
      </c>
      <c r="B32" s="238" t="s">
        <v>106</v>
      </c>
      <c r="C32" s="182"/>
      <c r="D32" s="241">
        <f>IF(A26=5,INDEX(DataHon!C34:'DataHon'!C57,F30),IF(A26=4,INDEX(DataHon!D34:'DataHon'!D57,F30),IF(A26=3,INDEX(DataHon!E34:'DataHon'!E57,F30),IF(A26=2,INDEX(DataHon!F34:'DataHon'!F57,F30),IF(A26=1,INDEX(DataHon!G34:'DataHon'!G57,F30)," ")))))</f>
        <v>2.9</v>
      </c>
      <c r="E32" s="242" t="s">
        <v>3</v>
      </c>
      <c r="F32" s="243"/>
    </row>
    <row r="33" spans="1:6" x14ac:dyDescent="0.25">
      <c r="A33" s="154" t="s">
        <v>109</v>
      </c>
      <c r="B33" s="238" t="s">
        <v>107</v>
      </c>
      <c r="C33" s="182"/>
      <c r="D33" s="241">
        <f>IF(A26=5,INDEX(DataHon!C34:'DataHon'!C57,F31),IF(A26=4,INDEX(DataHon!D34:'DataHon'!D57,F31),IF(A26=3,INDEX(DataHon!E34:'DataHon'!E57,F31),IF(A26=2,INDEX(DataHon!F34:'DataHon'!F57,F31),IF(A26=1,INDEX(DataHon!G34:'DataHon'!G57,F31)," ")))))</f>
        <v>2.8</v>
      </c>
      <c r="E33" s="242" t="s">
        <v>3</v>
      </c>
      <c r="F33" s="243"/>
    </row>
    <row r="34" spans="1:6" ht="16.8" customHeight="1" x14ac:dyDescent="0.3">
      <c r="A34" s="76"/>
      <c r="B34" s="244" t="s">
        <v>41</v>
      </c>
      <c r="C34" s="164"/>
      <c r="D34" s="190"/>
      <c r="E34" s="230" t="s">
        <v>3</v>
      </c>
      <c r="F34" s="245">
        <f>IF($F$23=0, 0, IF($F$23&lt;12000, (D32-((D32-D33)*(F23-D30)/(D31-D30))), IF($F$23&gt;33500000, 1.35, (D32-((D32-D33)*(F23-D30)/(D31-D30))))))</f>
        <v>2.9</v>
      </c>
    </row>
    <row r="35" spans="1:6" ht="15.6" x14ac:dyDescent="0.3">
      <c r="A35" s="232" t="s">
        <v>42</v>
      </c>
      <c r="B35" s="206" t="s">
        <v>45</v>
      </c>
      <c r="C35" s="188"/>
      <c r="D35" s="188"/>
      <c r="E35" s="189"/>
      <c r="F35" s="233"/>
    </row>
    <row r="36" spans="1:6" ht="18.600000000000001" x14ac:dyDescent="0.4">
      <c r="A36" s="76"/>
      <c r="B36" s="244"/>
      <c r="C36" s="164"/>
      <c r="D36" s="229" t="s">
        <v>229</v>
      </c>
      <c r="E36" s="230" t="s">
        <v>216</v>
      </c>
      <c r="F36" s="246">
        <f>F23*F34/100</f>
        <v>5800</v>
      </c>
    </row>
    <row r="37" spans="1:6" ht="6.6" customHeight="1" x14ac:dyDescent="0.25">
      <c r="A37" s="76"/>
      <c r="B37" s="187"/>
      <c r="C37" s="164"/>
      <c r="D37" s="164"/>
      <c r="E37" s="167"/>
      <c r="F37" s="75"/>
    </row>
    <row r="38" spans="1:6" ht="31.2" x14ac:dyDescent="0.3">
      <c r="A38" s="152" t="s">
        <v>43</v>
      </c>
      <c r="B38" s="247" t="s">
        <v>227</v>
      </c>
      <c r="C38" s="164"/>
      <c r="D38" s="181" t="s">
        <v>230</v>
      </c>
      <c r="E38" s="181" t="s">
        <v>3</v>
      </c>
      <c r="F38" s="153" t="s">
        <v>32</v>
      </c>
    </row>
    <row r="39" spans="1:6" ht="9" customHeight="1" x14ac:dyDescent="0.25">
      <c r="A39" s="74"/>
      <c r="B39" s="248"/>
      <c r="C39" s="183"/>
      <c r="D39" s="184"/>
      <c r="E39" s="184"/>
      <c r="F39" s="77" t="s">
        <v>231</v>
      </c>
    </row>
    <row r="40" spans="1:6" ht="15.6" x14ac:dyDescent="0.25">
      <c r="A40" s="78">
        <f>IF(F40=0," ",1)</f>
        <v>1</v>
      </c>
      <c r="B40" s="86" t="s">
        <v>93</v>
      </c>
      <c r="C40" s="249">
        <f>MATCH(B40,Коефициенти!A$2:A$35)</f>
        <v>6</v>
      </c>
      <c r="D40" s="185">
        <f>INDEX(Коефициенти!B$2:'Коефициенти'!B$35,C40)</f>
        <v>1.5</v>
      </c>
      <c r="E40" s="186">
        <f>IF(D40&gt;0,(D40-1)*100,0)</f>
        <v>50</v>
      </c>
      <c r="F40" s="79">
        <f>E40*F$36/100</f>
        <v>2900</v>
      </c>
    </row>
    <row r="41" spans="1:6" ht="15.6" x14ac:dyDescent="0.25">
      <c r="A41" s="78">
        <f>IF(F41=0," ",A40+1)</f>
        <v>2</v>
      </c>
      <c r="B41" s="87" t="s">
        <v>100</v>
      </c>
      <c r="C41" s="249">
        <f>MATCH(B41,Коефициенти!A$2:A$35)</f>
        <v>14</v>
      </c>
      <c r="D41" s="185">
        <f>INDEX(Коефициенти!B$2:'Коефициенти'!B$35,C41)</f>
        <v>1.1000000000000001</v>
      </c>
      <c r="E41" s="186">
        <f t="shared" ref="E41:E50" si="0">IF(D41&gt;0,(D41-1)*100,0)</f>
        <v>10.000000000000009</v>
      </c>
      <c r="F41" s="79">
        <f t="shared" ref="F41:F50" si="1">E41*F$36/100</f>
        <v>580.00000000000045</v>
      </c>
    </row>
    <row r="42" spans="1:6" ht="15.6" x14ac:dyDescent="0.25">
      <c r="A42" s="78" t="str">
        <f t="shared" ref="A42:A50" si="2">IF(F42=0," ",A41+1)</f>
        <v xml:space="preserve"> </v>
      </c>
      <c r="B42" s="87" t="s">
        <v>88</v>
      </c>
      <c r="C42" s="249">
        <f>MATCH(B42,Коефициенти!A$2:A$35)</f>
        <v>1</v>
      </c>
      <c r="D42" s="185">
        <f>INDEX(Коефициенти!B$2:'Коефициенти'!B$35,C42)</f>
        <v>0</v>
      </c>
      <c r="E42" s="186">
        <f t="shared" si="0"/>
        <v>0</v>
      </c>
      <c r="F42" s="79">
        <f t="shared" si="1"/>
        <v>0</v>
      </c>
    </row>
    <row r="43" spans="1:6" ht="15.6" x14ac:dyDescent="0.25">
      <c r="A43" s="78" t="str">
        <f t="shared" si="2"/>
        <v xml:space="preserve"> </v>
      </c>
      <c r="B43" s="87" t="s">
        <v>88</v>
      </c>
      <c r="C43" s="249">
        <f>MATCH(B43,Коефициенти!A$2:A$35)</f>
        <v>1</v>
      </c>
      <c r="D43" s="185">
        <f>INDEX(Коефициенти!B$2:'Коефициенти'!B$35,C43)</f>
        <v>0</v>
      </c>
      <c r="E43" s="186">
        <f t="shared" si="0"/>
        <v>0</v>
      </c>
      <c r="F43" s="79">
        <f t="shared" si="1"/>
        <v>0</v>
      </c>
    </row>
    <row r="44" spans="1:6" ht="15.6" x14ac:dyDescent="0.25">
      <c r="A44" s="78" t="str">
        <f t="shared" si="2"/>
        <v xml:space="preserve"> </v>
      </c>
      <c r="B44" s="87" t="s">
        <v>88</v>
      </c>
      <c r="C44" s="249">
        <f>MATCH(B44,Коефициенти!A$2:A$35)</f>
        <v>1</v>
      </c>
      <c r="D44" s="185">
        <f>INDEX(Коефициенти!B$2:'Коефициенти'!B$35,C44)</f>
        <v>0</v>
      </c>
      <c r="E44" s="186">
        <f t="shared" si="0"/>
        <v>0</v>
      </c>
      <c r="F44" s="79">
        <f t="shared" si="1"/>
        <v>0</v>
      </c>
    </row>
    <row r="45" spans="1:6" ht="15.6" x14ac:dyDescent="0.25">
      <c r="A45" s="78" t="str">
        <f t="shared" si="2"/>
        <v xml:space="preserve"> </v>
      </c>
      <c r="B45" s="87" t="s">
        <v>88</v>
      </c>
      <c r="C45" s="249">
        <f>MATCH(B45,Коефициенти!A$2:A$35)</f>
        <v>1</v>
      </c>
      <c r="D45" s="185">
        <f>INDEX(Коефициенти!B$2:'Коефициенти'!B$35,C45)</f>
        <v>0</v>
      </c>
      <c r="E45" s="186">
        <f t="shared" si="0"/>
        <v>0</v>
      </c>
      <c r="F45" s="79">
        <f t="shared" si="1"/>
        <v>0</v>
      </c>
    </row>
    <row r="46" spans="1:6" ht="15.6" x14ac:dyDescent="0.25">
      <c r="A46" s="78" t="str">
        <f t="shared" si="2"/>
        <v xml:space="preserve"> </v>
      </c>
      <c r="B46" s="87" t="s">
        <v>88</v>
      </c>
      <c r="C46" s="249">
        <f>MATCH(B46,Коефициенти!A$2:A$35)</f>
        <v>1</v>
      </c>
      <c r="D46" s="185">
        <f>INDEX(Коефициенти!B$2:'Коефициенти'!B$35,C46)</f>
        <v>0</v>
      </c>
      <c r="E46" s="186">
        <f t="shared" si="0"/>
        <v>0</v>
      </c>
      <c r="F46" s="79">
        <f t="shared" si="1"/>
        <v>0</v>
      </c>
    </row>
    <row r="47" spans="1:6" ht="15.6" x14ac:dyDescent="0.25">
      <c r="A47" s="78" t="str">
        <f t="shared" si="2"/>
        <v xml:space="preserve"> </v>
      </c>
      <c r="B47" s="87" t="s">
        <v>88</v>
      </c>
      <c r="C47" s="249">
        <f>MATCH(B47,Коефициенти!A$2:A$35)</f>
        <v>1</v>
      </c>
      <c r="D47" s="185">
        <f>INDEX(Коефициенти!B$2:'Коефициенти'!B$35,C47)</f>
        <v>0</v>
      </c>
      <c r="E47" s="186">
        <f t="shared" si="0"/>
        <v>0</v>
      </c>
      <c r="F47" s="79">
        <f t="shared" si="1"/>
        <v>0</v>
      </c>
    </row>
    <row r="48" spans="1:6" ht="15.6" x14ac:dyDescent="0.25">
      <c r="A48" s="78" t="str">
        <f t="shared" si="2"/>
        <v xml:space="preserve"> </v>
      </c>
      <c r="B48" s="87" t="s">
        <v>88</v>
      </c>
      <c r="C48" s="249">
        <f>MATCH(B48,Коефициенти!A$2:A$35)</f>
        <v>1</v>
      </c>
      <c r="D48" s="185">
        <f>INDEX(Коефициенти!B$2:'Коефициенти'!B$35,C48)</f>
        <v>0</v>
      </c>
      <c r="E48" s="186">
        <f t="shared" si="0"/>
        <v>0</v>
      </c>
      <c r="F48" s="79">
        <f t="shared" si="1"/>
        <v>0</v>
      </c>
    </row>
    <row r="49" spans="1:6" ht="15.6" x14ac:dyDescent="0.25">
      <c r="A49" s="78" t="str">
        <f t="shared" si="2"/>
        <v xml:space="preserve"> </v>
      </c>
      <c r="B49" s="87" t="s">
        <v>88</v>
      </c>
      <c r="C49" s="249">
        <f>MATCH(B49,Коефициенти!A$2:A$35)</f>
        <v>1</v>
      </c>
      <c r="D49" s="185">
        <f>INDEX(Коефициенти!B$2:'Коефициенти'!B$35,C49)</f>
        <v>0</v>
      </c>
      <c r="E49" s="186">
        <f t="shared" si="0"/>
        <v>0</v>
      </c>
      <c r="F49" s="79">
        <f t="shared" si="1"/>
        <v>0</v>
      </c>
    </row>
    <row r="50" spans="1:6" ht="15.6" x14ac:dyDescent="0.25">
      <c r="A50" s="78" t="str">
        <f t="shared" si="2"/>
        <v xml:space="preserve"> </v>
      </c>
      <c r="B50" s="87" t="s">
        <v>88</v>
      </c>
      <c r="C50" s="249">
        <f>MATCH(B50,Коефициенти!A$2:A$35)</f>
        <v>1</v>
      </c>
      <c r="D50" s="185">
        <f>INDEX(Коефициенти!B$2:'Коефициенти'!B$35,C50)</f>
        <v>0</v>
      </c>
      <c r="E50" s="186">
        <f t="shared" si="0"/>
        <v>0</v>
      </c>
      <c r="F50" s="79">
        <f t="shared" si="1"/>
        <v>0</v>
      </c>
    </row>
    <row r="51" spans="1:6" ht="24.6" customHeight="1" thickBot="1" x14ac:dyDescent="0.3">
      <c r="A51" s="150"/>
      <c r="B51" s="250"/>
      <c r="C51" s="251"/>
      <c r="D51" s="250" t="s">
        <v>232</v>
      </c>
      <c r="E51" s="252" t="s">
        <v>9</v>
      </c>
      <c r="F51" s="151">
        <f>SUM(F40:F50)</f>
        <v>3480.0000000000005</v>
      </c>
    </row>
    <row r="52" spans="1:6" ht="6" customHeight="1" x14ac:dyDescent="0.25">
      <c r="A52" s="168"/>
      <c r="B52" s="169"/>
      <c r="C52" s="170"/>
      <c r="D52" s="171"/>
      <c r="E52" s="170"/>
      <c r="F52" s="172"/>
    </row>
    <row r="53" spans="1:6" ht="21" customHeight="1" x14ac:dyDescent="0.25">
      <c r="A53" s="173"/>
      <c r="B53" s="397" t="s">
        <v>237</v>
      </c>
      <c r="C53" s="397"/>
      <c r="D53" s="165"/>
      <c r="E53" s="166" t="s">
        <v>216</v>
      </c>
      <c r="F53" s="174">
        <f>F36+F51</f>
        <v>9280</v>
      </c>
    </row>
    <row r="54" spans="1:6" ht="6" customHeight="1" thickBot="1" x14ac:dyDescent="0.3">
      <c r="A54" s="175"/>
      <c r="B54" s="176"/>
      <c r="C54" s="177"/>
      <c r="D54" s="178"/>
      <c r="E54" s="177"/>
      <c r="F54" s="179"/>
    </row>
    <row r="55" spans="1:6" x14ac:dyDescent="0.25">
      <c r="A55" s="276" t="s">
        <v>46</v>
      </c>
      <c r="B55" s="277" t="s">
        <v>54</v>
      </c>
      <c r="C55" s="278"/>
      <c r="D55" s="279"/>
      <c r="E55" s="278"/>
      <c r="F55" s="280"/>
    </row>
    <row r="56" spans="1:6" ht="15.6" x14ac:dyDescent="0.3">
      <c r="A56" s="281" t="s">
        <v>47</v>
      </c>
      <c r="B56" s="282" t="s">
        <v>51</v>
      </c>
      <c r="C56" s="283" t="s">
        <v>3</v>
      </c>
      <c r="D56" s="190">
        <f>IF(A26=5, 10, IF(A26=4, 13, IF(A26=3, 16, IF(A26=2, 19, IF(A26=1, 23, 0)))))</f>
        <v>16</v>
      </c>
      <c r="E56" s="182" t="s">
        <v>216</v>
      </c>
      <c r="F56" s="340">
        <f>$F$53*D56/100</f>
        <v>1484.8</v>
      </c>
    </row>
    <row r="57" spans="1:6" ht="15.6" x14ac:dyDescent="0.3">
      <c r="A57" s="281" t="s">
        <v>48</v>
      </c>
      <c r="B57" s="282" t="s">
        <v>52</v>
      </c>
      <c r="C57" s="283" t="s">
        <v>3</v>
      </c>
      <c r="D57" s="190">
        <f>IF(A26=5, 80, IF(A26=4, 76, IF(A26=3, 72, IF(A26=2, 68, IF(A26=1, 62, 0)))))</f>
        <v>72</v>
      </c>
      <c r="E57" s="182" t="s">
        <v>216</v>
      </c>
      <c r="F57" s="340">
        <f>$F$53*D57/100</f>
        <v>6681.6</v>
      </c>
    </row>
    <row r="58" spans="1:6" ht="15.6" x14ac:dyDescent="0.3">
      <c r="A58" s="281" t="s">
        <v>50</v>
      </c>
      <c r="B58" s="282" t="s">
        <v>53</v>
      </c>
      <c r="C58" s="342" t="s">
        <v>3</v>
      </c>
      <c r="D58" s="343">
        <f>IF(A26=5, 10, IF(A26=4, 11, IF(A26=3, 12, IF(A26=2, 13, IF(A26=1, 15, 0)))))</f>
        <v>12</v>
      </c>
      <c r="E58" s="344" t="s">
        <v>216</v>
      </c>
      <c r="F58" s="345">
        <f>$F$53*D58/100</f>
        <v>1113.5999999999999</v>
      </c>
    </row>
    <row r="59" spans="1:6" x14ac:dyDescent="0.25">
      <c r="A59" s="281"/>
      <c r="B59" s="284" t="s">
        <v>75</v>
      </c>
      <c r="C59" s="49" t="s">
        <v>3</v>
      </c>
      <c r="D59" s="285">
        <f>SUM(D56:D58)</f>
        <v>100</v>
      </c>
      <c r="E59" s="286" t="s">
        <v>216</v>
      </c>
      <c r="F59" s="341">
        <f>SUM(F56:F58)</f>
        <v>9280</v>
      </c>
    </row>
    <row r="60" spans="1:6" ht="4.8" customHeight="1" thickBot="1" x14ac:dyDescent="0.3">
      <c r="A60" s="287"/>
      <c r="B60" s="155"/>
      <c r="C60" s="156"/>
      <c r="D60" s="157"/>
      <c r="E60" s="157"/>
      <c r="F60" s="288"/>
    </row>
    <row r="61" spans="1:6" ht="9" customHeight="1" x14ac:dyDescent="0.25">
      <c r="A61" s="276"/>
      <c r="B61" s="289"/>
      <c r="C61" s="290"/>
      <c r="D61" s="291"/>
      <c r="E61" s="291"/>
      <c r="F61" s="292"/>
    </row>
    <row r="62" spans="1:6" ht="26.4" x14ac:dyDescent="0.25">
      <c r="A62" s="293" t="s">
        <v>49</v>
      </c>
      <c r="B62" s="294" t="s">
        <v>258</v>
      </c>
      <c r="C62" s="183"/>
      <c r="D62" s="295" t="s">
        <v>87</v>
      </c>
      <c r="E62" s="296" t="s">
        <v>3</v>
      </c>
      <c r="F62" s="297" t="s">
        <v>32</v>
      </c>
    </row>
    <row r="63" spans="1:6" ht="9" customHeight="1" x14ac:dyDescent="0.25">
      <c r="A63" s="298"/>
      <c r="B63" s="299"/>
      <c r="C63" s="300"/>
      <c r="D63" s="184"/>
      <c r="E63" s="184"/>
      <c r="F63" s="301" t="s">
        <v>231</v>
      </c>
    </row>
    <row r="64" spans="1:6" ht="15.6" x14ac:dyDescent="0.25">
      <c r="A64" s="293"/>
      <c r="B64" s="73" t="s">
        <v>88</v>
      </c>
      <c r="C64" s="302">
        <f>MATCH(B64,Коефициенти!A$49:A$53)</f>
        <v>1</v>
      </c>
      <c r="D64" s="185">
        <f>INDEX(Коефициенти!B$49:'Коефициенти'!B$53,C64)</f>
        <v>0</v>
      </c>
      <c r="E64" s="186">
        <f>IF(D64&gt;0,D64*100,0)</f>
        <v>0</v>
      </c>
      <c r="F64" s="303">
        <f>D64*F$53</f>
        <v>0</v>
      </c>
    </row>
    <row r="65" spans="1:6" ht="9" customHeight="1" thickBot="1" x14ac:dyDescent="0.3">
      <c r="A65" s="304"/>
      <c r="B65" s="158"/>
      <c r="C65" s="159"/>
      <c r="D65" s="160"/>
      <c r="E65" s="160"/>
      <c r="F65" s="305"/>
    </row>
    <row r="66" spans="1:6" ht="6.6" customHeight="1" x14ac:dyDescent="0.25">
      <c r="A66" s="306"/>
      <c r="B66" s="307"/>
      <c r="C66" s="308"/>
      <c r="D66" s="279"/>
      <c r="E66" s="279"/>
      <c r="F66" s="309"/>
    </row>
    <row r="67" spans="1:6" ht="20.399999999999999" x14ac:dyDescent="0.25">
      <c r="A67" s="293" t="s">
        <v>55</v>
      </c>
      <c r="B67" s="339" t="s">
        <v>257</v>
      </c>
      <c r="C67" s="310"/>
      <c r="D67" s="311" t="s">
        <v>129</v>
      </c>
      <c r="E67" s="311" t="s">
        <v>233</v>
      </c>
      <c r="F67" s="312" t="s">
        <v>2</v>
      </c>
    </row>
    <row r="68" spans="1:6" x14ac:dyDescent="0.25">
      <c r="A68" s="313"/>
      <c r="B68" s="73" t="s">
        <v>85</v>
      </c>
      <c r="C68" s="310"/>
      <c r="D68" s="314" t="s">
        <v>130</v>
      </c>
      <c r="E68" s="314" t="s">
        <v>231</v>
      </c>
      <c r="F68" s="315" t="s">
        <v>231</v>
      </c>
    </row>
    <row r="69" spans="1:6" ht="4.8" customHeight="1" x14ac:dyDescent="0.25">
      <c r="A69" s="313"/>
      <c r="B69" s="294"/>
      <c r="C69" s="183"/>
      <c r="D69" s="164"/>
      <c r="E69" s="164"/>
      <c r="F69" s="316"/>
    </row>
    <row r="70" spans="1:6" x14ac:dyDescent="0.25">
      <c r="A70" s="313"/>
      <c r="B70" s="187" t="s">
        <v>126</v>
      </c>
      <c r="C70" s="164"/>
      <c r="D70" s="89"/>
      <c r="E70" s="167">
        <f>200/1.95583</f>
        <v>102.2583762392437</v>
      </c>
      <c r="F70" s="317">
        <f>D70*E70</f>
        <v>0</v>
      </c>
    </row>
    <row r="71" spans="1:6" x14ac:dyDescent="0.25">
      <c r="A71" s="313"/>
      <c r="B71" s="187" t="s">
        <v>127</v>
      </c>
      <c r="C71" s="164"/>
      <c r="D71" s="89"/>
      <c r="E71" s="167">
        <f>160/1.95583</f>
        <v>81.806700991394962</v>
      </c>
      <c r="F71" s="317">
        <f>D71*E71</f>
        <v>0</v>
      </c>
    </row>
    <row r="72" spans="1:6" x14ac:dyDescent="0.25">
      <c r="A72" s="313"/>
      <c r="B72" s="187" t="s">
        <v>128</v>
      </c>
      <c r="C72" s="164"/>
      <c r="D72" s="89"/>
      <c r="E72" s="167">
        <f>100/1.95583</f>
        <v>51.129188119621851</v>
      </c>
      <c r="F72" s="317">
        <f>D72*E72</f>
        <v>0</v>
      </c>
    </row>
    <row r="73" spans="1:6" x14ac:dyDescent="0.25">
      <c r="A73" s="313"/>
      <c r="B73" s="187" t="s">
        <v>242</v>
      </c>
      <c r="C73" s="164"/>
      <c r="D73" s="164"/>
      <c r="E73" s="164"/>
      <c r="F73" s="331"/>
    </row>
    <row r="74" spans="1:6" ht="15.6" x14ac:dyDescent="0.3">
      <c r="A74" s="313"/>
      <c r="B74" s="318" t="s">
        <v>6</v>
      </c>
      <c r="C74" s="188"/>
      <c r="D74" s="188"/>
      <c r="E74" s="189"/>
      <c r="F74" s="319">
        <f>SUM(F70:F73)</f>
        <v>0</v>
      </c>
    </row>
    <row r="75" spans="1:6" ht="4.2" customHeight="1" thickBot="1" x14ac:dyDescent="0.3">
      <c r="A75" s="320"/>
      <c r="B75" s="158"/>
      <c r="C75" s="159"/>
      <c r="D75" s="160"/>
      <c r="E75" s="160"/>
      <c r="F75" s="305"/>
    </row>
    <row r="76" spans="1:6" ht="4.2" customHeight="1" x14ac:dyDescent="0.25">
      <c r="A76" s="313"/>
      <c r="B76" s="294"/>
      <c r="C76" s="183"/>
      <c r="D76" s="164"/>
      <c r="E76" s="164"/>
      <c r="F76" s="316"/>
    </row>
    <row r="77" spans="1:6" ht="20.399999999999999" x14ac:dyDescent="0.25">
      <c r="A77" s="293" t="s">
        <v>56</v>
      </c>
      <c r="B77" s="322" t="s">
        <v>259</v>
      </c>
      <c r="C77" s="322"/>
      <c r="D77" s="311" t="s">
        <v>129</v>
      </c>
      <c r="E77" s="311" t="s">
        <v>233</v>
      </c>
      <c r="F77" s="312" t="s">
        <v>2</v>
      </c>
    </row>
    <row r="78" spans="1:6" x14ac:dyDescent="0.25">
      <c r="A78" s="313"/>
      <c r="B78" s="294"/>
      <c r="C78" s="183"/>
      <c r="D78" s="314" t="s">
        <v>130</v>
      </c>
      <c r="E78" s="314" t="s">
        <v>231</v>
      </c>
      <c r="F78" s="315" t="s">
        <v>231</v>
      </c>
    </row>
    <row r="79" spans="1:6" ht="13.2" customHeight="1" x14ac:dyDescent="0.25">
      <c r="A79" s="313"/>
      <c r="B79" s="187" t="s">
        <v>126</v>
      </c>
      <c r="C79" s="164"/>
      <c r="D79" s="89"/>
      <c r="E79" s="167">
        <f>200/1.95583</f>
        <v>102.2583762392437</v>
      </c>
      <c r="F79" s="317">
        <f>D79*E79</f>
        <v>0</v>
      </c>
    </row>
    <row r="80" spans="1:6" ht="13.2" customHeight="1" x14ac:dyDescent="0.25">
      <c r="A80" s="313"/>
      <c r="B80" s="187" t="s">
        <v>242</v>
      </c>
      <c r="C80" s="164"/>
      <c r="D80" s="164"/>
      <c r="E80" s="164"/>
      <c r="F80" s="331"/>
    </row>
    <row r="81" spans="1:6" ht="13.2" customHeight="1" x14ac:dyDescent="0.3">
      <c r="A81" s="313"/>
      <c r="B81" s="318" t="s">
        <v>6</v>
      </c>
      <c r="C81" s="188"/>
      <c r="D81" s="188"/>
      <c r="E81" s="189"/>
      <c r="F81" s="319">
        <f>IF(AND(SUM(F79:F80)&gt;0,SUM(F79:F80)&lt;500),500,SUM(F79:F80))</f>
        <v>0</v>
      </c>
    </row>
    <row r="82" spans="1:6" ht="5.4" customHeight="1" thickBot="1" x14ac:dyDescent="0.3">
      <c r="A82" s="313"/>
      <c r="B82" s="294"/>
      <c r="C82" s="183"/>
      <c r="D82" s="164"/>
      <c r="E82" s="164"/>
      <c r="F82" s="316"/>
    </row>
    <row r="83" spans="1:6" ht="5.4" customHeight="1" x14ac:dyDescent="0.25">
      <c r="A83" s="321"/>
      <c r="B83" s="307"/>
      <c r="C83" s="308"/>
      <c r="D83" s="279"/>
      <c r="E83" s="279"/>
      <c r="F83" s="309"/>
    </row>
    <row r="84" spans="1:6" ht="20.399999999999999" x14ac:dyDescent="0.25">
      <c r="A84" s="293" t="s">
        <v>280</v>
      </c>
      <c r="B84" s="322" t="s">
        <v>238</v>
      </c>
      <c r="C84" s="310"/>
      <c r="D84" s="311" t="s">
        <v>129</v>
      </c>
      <c r="E84" s="311" t="s">
        <v>233</v>
      </c>
      <c r="F84" s="312" t="s">
        <v>2</v>
      </c>
    </row>
    <row r="85" spans="1:6" x14ac:dyDescent="0.25">
      <c r="A85" s="323"/>
      <c r="B85" s="87" t="s">
        <v>85</v>
      </c>
      <c r="C85" s="190"/>
      <c r="D85" s="314" t="s">
        <v>130</v>
      </c>
      <c r="E85" s="314" t="s">
        <v>231</v>
      </c>
      <c r="F85" s="315" t="s">
        <v>231</v>
      </c>
    </row>
    <row r="86" spans="1:6" ht="9" customHeight="1" x14ac:dyDescent="0.25">
      <c r="A86" s="313"/>
      <c r="B86" s="294"/>
      <c r="C86" s="183"/>
      <c r="D86" s="164"/>
      <c r="E86" s="164"/>
      <c r="F86" s="316"/>
    </row>
    <row r="87" spans="1:6" x14ac:dyDescent="0.25">
      <c r="A87" s="313"/>
      <c r="B87" s="187" t="s">
        <v>126</v>
      </c>
      <c r="C87" s="164"/>
      <c r="D87" s="89"/>
      <c r="E87" s="167">
        <f>200/1.95583</f>
        <v>102.2583762392437</v>
      </c>
      <c r="F87" s="317">
        <f>D87*E87</f>
        <v>0</v>
      </c>
    </row>
    <row r="88" spans="1:6" x14ac:dyDescent="0.25">
      <c r="A88" s="313"/>
      <c r="B88" s="187" t="s">
        <v>127</v>
      </c>
      <c r="C88" s="164"/>
      <c r="D88" s="89"/>
      <c r="E88" s="167">
        <f>160/1.95583</f>
        <v>81.806700991394962</v>
      </c>
      <c r="F88" s="317">
        <f>D88*E88</f>
        <v>0</v>
      </c>
    </row>
    <row r="89" spans="1:6" x14ac:dyDescent="0.25">
      <c r="A89" s="313"/>
      <c r="B89" s="187" t="s">
        <v>128</v>
      </c>
      <c r="C89" s="164"/>
      <c r="D89" s="89"/>
      <c r="E89" s="167">
        <f>100/1.95583</f>
        <v>51.129188119621851</v>
      </c>
      <c r="F89" s="317">
        <f>D89*E89</f>
        <v>0</v>
      </c>
    </row>
    <row r="90" spans="1:6" x14ac:dyDescent="0.25">
      <c r="A90" s="313"/>
      <c r="B90" s="187" t="s">
        <v>242</v>
      </c>
      <c r="C90" s="164"/>
      <c r="D90" s="164"/>
      <c r="E90" s="164"/>
      <c r="F90" s="331"/>
    </row>
    <row r="91" spans="1:6" ht="15.6" x14ac:dyDescent="0.3">
      <c r="A91" s="313"/>
      <c r="B91" s="318" t="s">
        <v>6</v>
      </c>
      <c r="C91" s="188"/>
      <c r="D91" s="188"/>
      <c r="E91" s="189"/>
      <c r="F91" s="319">
        <f>SUM(F87:F90)</f>
        <v>0</v>
      </c>
    </row>
    <row r="92" spans="1:6" ht="5.4" customHeight="1" thickBot="1" x14ac:dyDescent="0.3">
      <c r="A92" s="324"/>
      <c r="B92" s="161"/>
      <c r="C92" s="162"/>
      <c r="D92" s="162"/>
      <c r="E92" s="163"/>
      <c r="F92" s="325"/>
    </row>
    <row r="93" spans="1:6" ht="24" customHeight="1" x14ac:dyDescent="0.25">
      <c r="A93" s="399" t="s">
        <v>281</v>
      </c>
      <c r="B93" s="400"/>
      <c r="C93" s="398" t="str">
        <f>E7</f>
        <v>Еднофазно проектиране</v>
      </c>
      <c r="D93" s="398"/>
      <c r="E93" s="398"/>
      <c r="F93" s="326">
        <f>IF(E7="Еднофазно проектиране",F56+F57+F58,IF(E7="ИП",F56,IF(E7="ТП",F56+F57,IF(E7="РП",F56+F57+F58,IF(E7="Прилагане или пригаждане",F64,IF(E7="Проектно решение",F74,IF(E7="Конструктивно становище",F81,IF(E7="Други дейности",F91," "))))))))</f>
        <v>9280</v>
      </c>
    </row>
    <row r="94" spans="1:6" ht="24" customHeight="1" x14ac:dyDescent="0.25">
      <c r="A94" s="403" t="s">
        <v>234</v>
      </c>
      <c r="B94" s="404"/>
      <c r="C94" s="401">
        <v>0</v>
      </c>
      <c r="D94" s="402"/>
      <c r="E94" s="148" t="s">
        <v>3</v>
      </c>
      <c r="F94" s="327">
        <f xml:space="preserve"> ABS(F93*C94)/100</f>
        <v>0</v>
      </c>
    </row>
    <row r="95" spans="1:6" ht="24" customHeight="1" x14ac:dyDescent="0.25">
      <c r="A95" s="328"/>
      <c r="B95" s="191" t="s">
        <v>282</v>
      </c>
      <c r="C95" s="192"/>
      <c r="D95" s="192"/>
      <c r="E95" s="192" t="s">
        <v>236</v>
      </c>
      <c r="F95" s="329">
        <f>F93+F94</f>
        <v>9280</v>
      </c>
    </row>
    <row r="96" spans="1:6" ht="36.6" customHeight="1" thickBot="1" x14ac:dyDescent="0.3">
      <c r="A96" s="394" t="s">
        <v>235</v>
      </c>
      <c r="B96" s="395"/>
      <c r="C96" s="395"/>
      <c r="D96" s="396"/>
      <c r="E96" s="180" t="s">
        <v>236</v>
      </c>
      <c r="F96" s="254">
        <f>ROUNDUP(F95,-1)</f>
        <v>9280</v>
      </c>
    </row>
    <row r="97" spans="1:6" ht="16.2" thickBot="1" x14ac:dyDescent="0.35">
      <c r="A97" s="275" t="s">
        <v>241</v>
      </c>
      <c r="B97" s="407"/>
      <c r="C97" s="408"/>
      <c r="D97" s="408"/>
      <c r="E97" s="408"/>
      <c r="F97" s="409"/>
    </row>
    <row r="98" spans="1:6" ht="6" customHeight="1" x14ac:dyDescent="0.25">
      <c r="A98" s="24"/>
      <c r="B98" s="8"/>
      <c r="C98" s="9"/>
      <c r="D98" s="9"/>
      <c r="E98" s="25"/>
      <c r="F98" s="26"/>
    </row>
    <row r="99" spans="1:6" ht="12.75" customHeight="1" x14ac:dyDescent="0.3">
      <c r="A99" s="146" t="s">
        <v>212</v>
      </c>
      <c r="B99" s="8"/>
      <c r="C99" s="9"/>
      <c r="D99" s="9"/>
      <c r="E99" s="25"/>
      <c r="F99" s="26"/>
    </row>
    <row r="100" spans="1:6" ht="13.2" customHeight="1" x14ac:dyDescent="0.25">
      <c r="A100" s="405" t="s">
        <v>283</v>
      </c>
      <c r="B100" s="405"/>
      <c r="C100" s="405"/>
      <c r="D100" s="405"/>
      <c r="E100" s="406" t="s">
        <v>240</v>
      </c>
      <c r="F100" s="406"/>
    </row>
    <row r="101" spans="1:6" ht="7.2" customHeight="1" x14ac:dyDescent="0.25">
      <c r="A101" s="24"/>
      <c r="B101" s="8"/>
      <c r="C101" s="9"/>
      <c r="D101" s="9"/>
      <c r="E101" s="25"/>
      <c r="F101" s="26"/>
    </row>
    <row r="102" spans="1:6" ht="12.75" customHeight="1" x14ac:dyDescent="0.25">
      <c r="A102" s="24"/>
      <c r="B102" s="27" t="s">
        <v>62</v>
      </c>
      <c r="C102" s="8"/>
      <c r="D102" s="8"/>
      <c r="E102" s="8"/>
      <c r="F102" s="26"/>
    </row>
    <row r="103" spans="1:6" ht="12.75" customHeight="1" x14ac:dyDescent="0.25">
      <c r="A103" s="24"/>
      <c r="B103" s="8"/>
      <c r="C103" s="393" t="s">
        <v>61</v>
      </c>
      <c r="D103" s="393"/>
      <c r="E103" s="393"/>
      <c r="F103" s="393"/>
    </row>
    <row r="104" spans="1:6" ht="12.75" customHeight="1" x14ac:dyDescent="0.3">
      <c r="A104" s="39" t="s">
        <v>78</v>
      </c>
    </row>
    <row r="105" spans="1:6" ht="12.75" customHeight="1" x14ac:dyDescent="0.25">
      <c r="B105" s="27" t="s">
        <v>74</v>
      </c>
      <c r="C105" s="27"/>
      <c r="D105" s="8"/>
      <c r="E105" s="8"/>
      <c r="F105" s="8"/>
    </row>
    <row r="106" spans="1:6" ht="12.75" customHeight="1" x14ac:dyDescent="0.3">
      <c r="B106" s="32"/>
      <c r="C106" s="393" t="s">
        <v>81</v>
      </c>
      <c r="D106" s="393"/>
      <c r="E106" s="393"/>
      <c r="F106" s="393"/>
    </row>
    <row r="107" spans="1:6" ht="12.75" customHeight="1" x14ac:dyDescent="0.25">
      <c r="A107" s="44" t="s">
        <v>67</v>
      </c>
      <c r="B107" s="42">
        <f ca="1">TODAY()</f>
        <v>46051</v>
      </c>
    </row>
    <row r="108" spans="1:6" ht="12.75" customHeight="1" x14ac:dyDescent="0.3">
      <c r="A108" s="44" t="s">
        <v>68</v>
      </c>
      <c r="B108" s="149" t="s">
        <v>69</v>
      </c>
      <c r="C108" s="33"/>
      <c r="D108" s="33"/>
      <c r="E108" s="33"/>
      <c r="F108" s="34"/>
    </row>
    <row r="109" spans="1:6" ht="12.75" customHeight="1" x14ac:dyDescent="0.3">
      <c r="C109" s="33"/>
      <c r="D109" s="33"/>
      <c r="E109" s="33"/>
      <c r="F109" s="34"/>
    </row>
    <row r="110" spans="1:6" ht="12.75" customHeight="1" x14ac:dyDescent="0.25"/>
    <row r="111" spans="1:6" ht="12.75" customHeight="1" x14ac:dyDescent="0.25"/>
    <row r="112" spans="1:6" ht="12.75" customHeight="1" x14ac:dyDescent="0.25"/>
    <row r="113" spans="4:4" ht="12.75" customHeight="1" x14ac:dyDescent="0.25"/>
    <row r="114" spans="4:4" ht="12.75" customHeight="1" x14ac:dyDescent="0.25"/>
    <row r="115" spans="4:4" ht="12.75" customHeight="1" x14ac:dyDescent="0.25"/>
    <row r="116" spans="4:4" ht="12.75" customHeight="1" x14ac:dyDescent="0.25"/>
    <row r="118" spans="4:4" x14ac:dyDescent="0.25">
      <c r="D118" s="330"/>
    </row>
  </sheetData>
  <mergeCells count="20">
    <mergeCell ref="C106:F106"/>
    <mergeCell ref="A96:D96"/>
    <mergeCell ref="B53:C53"/>
    <mergeCell ref="C93:E93"/>
    <mergeCell ref="A93:B93"/>
    <mergeCell ref="C103:F103"/>
    <mergeCell ref="C94:D94"/>
    <mergeCell ref="A94:B94"/>
    <mergeCell ref="A100:D100"/>
    <mergeCell ref="E100:F100"/>
    <mergeCell ref="B97:F97"/>
    <mergeCell ref="A12:F12"/>
    <mergeCell ref="A1:F1"/>
    <mergeCell ref="A2:F2"/>
    <mergeCell ref="A4:F4"/>
    <mergeCell ref="A9:F9"/>
    <mergeCell ref="A10:F10"/>
    <mergeCell ref="A11:F11"/>
    <mergeCell ref="A3:F3"/>
    <mergeCell ref="E7:F7"/>
  </mergeCells>
  <phoneticPr fontId="0" type="noConversion"/>
  <conditionalFormatting sqref="D19">
    <cfRule type="expression" dxfId="2" priority="4">
      <formula>$A$19="1.1.2."</formula>
    </cfRule>
  </conditionalFormatting>
  <conditionalFormatting sqref="D20">
    <cfRule type="expression" dxfId="1" priority="3">
      <formula>$A$20="1.1.3."</formula>
    </cfRule>
  </conditionalFormatting>
  <conditionalFormatting sqref="D21">
    <cfRule type="expression" dxfId="0" priority="1">
      <formula>$A$21="1.1.4."</formula>
    </cfRule>
  </conditionalFormatting>
  <dataValidations count="1">
    <dataValidation type="list" allowBlank="1" showInputMessage="1" showErrorMessage="1" sqref="E7:F7" xr:uid="{69084A8F-611A-4512-93F0-F71E42DB0727}">
      <formula1>"Еднофазно проектиране,ИП,ТП,РП,Прилагане или пригаждане,Проектно решение,Конструктивно становище,Други дейности"</formula1>
    </dataValidation>
  </dataValidations>
  <printOptions horizontalCentered="1"/>
  <pageMargins left="1.3779527559055118" right="0.39370078740157483" top="0.98425196850393704" bottom="0.59055118110236227" header="0.39370078740157483" footer="0.39370078740157483"/>
  <pageSetup paperSize="9" scale="90" orientation="portrait" r:id="rId1"/>
  <headerFooter alignWithMargins="0">
    <oddHeader>&amp;L&amp;"Arial Narrow,Italic"&amp;8АВТОРСКИ ПРАВА
КИИП - КСС  р.№ 02751&amp;"Arial,Regular"&amp;10
&amp;CХОНОРАР  СМЕТКА&amp;R&amp;"Arial,Italic"Приложение № 1</oddHeader>
    <oddFooter>&amp;R&amp;P</oddFooter>
  </headerFooter>
  <ignoredErrors>
    <ignoredError sqref="A14 A62 A55 C40:E40 A67 G40:XFD40 A77 A84" numberStoredAsText="1"/>
    <ignoredError sqref="B20" formula="1"/>
    <ignoredError sqref="F95:F96 F56:F59 F41:F53 F30:F36" evalError="1"/>
    <ignoredError sqref="F40" evalError="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16</xdr:row>
                    <xdr:rowOff>22860</xdr:rowOff>
                  </from>
                  <to>
                    <xdr:col>3</xdr:col>
                    <xdr:colOff>441960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1</xdr:col>
                    <xdr:colOff>30480</xdr:colOff>
                    <xdr:row>24</xdr:row>
                    <xdr:rowOff>114300</xdr:rowOff>
                  </from>
                  <to>
                    <xdr:col>3</xdr:col>
                    <xdr:colOff>426720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Коефициенти!$A$49:$A$53</xm:f>
          </x14:formula1>
          <xm:sqref>B64</xm:sqref>
        </x14:dataValidation>
        <x14:dataValidation type="list" allowBlank="1" showInputMessage="1" showErrorMessage="1" xr:uid="{00000000-0002-0000-0000-000004000000}">
          <x14:formula1>
            <xm:f>'Проектни решения и Други'!$A$3:$A$17</xm:f>
          </x14:formula1>
          <xm:sqref>B68</xm:sqref>
        </x14:dataValidation>
        <x14:dataValidation type="list" allowBlank="1" showInputMessage="1" showErrorMessage="1" xr:uid="{00000000-0002-0000-0000-000005000000}">
          <x14:formula1>
            <xm:f>'Проектни решения и Други'!$A$22:$A$45</xm:f>
          </x14:formula1>
          <xm:sqref>B85</xm:sqref>
        </x14:dataValidation>
        <x14:dataValidation type="list" allowBlank="1" showInputMessage="1" showErrorMessage="1" xr:uid="{00000000-0002-0000-0000-000002000000}">
          <x14:formula1>
            <xm:f>Коефициенти!$A$2:$A$35</xm:f>
          </x14:formula1>
          <xm:sqref>B40:B50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52D3-252E-422E-9EC9-1AE0F90837A9}">
  <dimension ref="A1:L26"/>
  <sheetViews>
    <sheetView topLeftCell="A6" workbookViewId="0">
      <selection activeCell="J15" sqref="J15"/>
    </sheetView>
  </sheetViews>
  <sheetFormatPr defaultRowHeight="13.2" x14ac:dyDescent="0.25"/>
  <cols>
    <col min="1" max="1" width="7.21875" bestFit="1" customWidth="1"/>
    <col min="2" max="2" width="19.44140625" bestFit="1" customWidth="1"/>
    <col min="3" max="3" width="4.88671875" bestFit="1" customWidth="1"/>
    <col min="4" max="4" width="8.21875" bestFit="1" customWidth="1"/>
    <col min="5" max="5" width="4.88671875" bestFit="1" customWidth="1"/>
    <col min="6" max="6" width="8.21875" bestFit="1" customWidth="1"/>
    <col min="7" max="7" width="4.88671875" bestFit="1" customWidth="1"/>
    <col min="8" max="8" width="8.21875" bestFit="1" customWidth="1"/>
    <col min="9" max="9" width="4.88671875" bestFit="1" customWidth="1"/>
    <col min="10" max="10" width="8.21875" bestFit="1" customWidth="1"/>
    <col min="11" max="11" width="4.88671875" bestFit="1" customWidth="1"/>
    <col min="12" max="12" width="8.21875" bestFit="1" customWidth="1"/>
  </cols>
  <sheetData>
    <row r="1" spans="1:12" ht="13.8" thickBot="1" x14ac:dyDescent="0.3"/>
    <row r="2" spans="1:12" ht="39.6" customHeight="1" x14ac:dyDescent="0.25">
      <c r="A2" s="414" t="s">
        <v>288</v>
      </c>
      <c r="B2" s="412" t="s">
        <v>287</v>
      </c>
      <c r="C2" s="410" t="s">
        <v>289</v>
      </c>
      <c r="D2" s="411"/>
      <c r="E2" s="410" t="s">
        <v>290</v>
      </c>
      <c r="F2" s="411"/>
      <c r="G2" s="410" t="s">
        <v>291</v>
      </c>
      <c r="H2" s="411"/>
      <c r="I2" s="410" t="s">
        <v>292</v>
      </c>
      <c r="J2" s="411"/>
      <c r="K2" s="410" t="s">
        <v>293</v>
      </c>
      <c r="L2" s="411"/>
    </row>
    <row r="3" spans="1:12" ht="16.2" thickBot="1" x14ac:dyDescent="0.35">
      <c r="A3" s="415"/>
      <c r="B3" s="413"/>
      <c r="C3" s="363" t="s">
        <v>3</v>
      </c>
      <c r="D3" s="364" t="s">
        <v>216</v>
      </c>
      <c r="E3" s="363" t="s">
        <v>3</v>
      </c>
      <c r="F3" s="364" t="s">
        <v>216</v>
      </c>
      <c r="G3" s="363" t="s">
        <v>3</v>
      </c>
      <c r="H3" s="364" t="s">
        <v>216</v>
      </c>
      <c r="I3" s="363" t="s">
        <v>3</v>
      </c>
      <c r="J3" s="364" t="s">
        <v>216</v>
      </c>
      <c r="K3" s="363" t="s">
        <v>3</v>
      </c>
      <c r="L3" s="364" t="s">
        <v>216</v>
      </c>
    </row>
    <row r="4" spans="1:12" ht="15.6" x14ac:dyDescent="0.3">
      <c r="A4" s="365">
        <v>1</v>
      </c>
      <c r="B4" s="366">
        <v>1</v>
      </c>
      <c r="C4" s="367">
        <v>4</v>
      </c>
      <c r="D4" s="368">
        <f>$B$4*C4%</f>
        <v>0.04</v>
      </c>
      <c r="E4" s="367">
        <v>4.1900000000000004</v>
      </c>
      <c r="F4" s="368">
        <f>$B4*E4%</f>
        <v>4.1900000000000007E-2</v>
      </c>
      <c r="G4" s="369">
        <v>4.4000000000000004</v>
      </c>
      <c r="H4" s="368">
        <f>$B4*G4%</f>
        <v>4.4000000000000004E-2</v>
      </c>
      <c r="I4" s="367">
        <v>4.62</v>
      </c>
      <c r="J4" s="368">
        <f>$B4*I4%</f>
        <v>4.6199999999999998E-2</v>
      </c>
      <c r="K4" s="367">
        <v>4.84</v>
      </c>
      <c r="L4" s="368">
        <f>$B4*K4%</f>
        <v>4.8399999999999999E-2</v>
      </c>
    </row>
    <row r="5" spans="1:12" ht="15.6" x14ac:dyDescent="0.3">
      <c r="A5" s="370">
        <v>2</v>
      </c>
      <c r="B5" s="371">
        <v>25000</v>
      </c>
      <c r="C5" s="372">
        <v>3.73</v>
      </c>
      <c r="D5" s="373">
        <f t="shared" ref="D5:D26" si="0">B5*C5%</f>
        <v>932.5</v>
      </c>
      <c r="E5" s="372">
        <v>3.9</v>
      </c>
      <c r="F5" s="373">
        <f t="shared" ref="F5:F26" si="1">$B5*E5%</f>
        <v>975</v>
      </c>
      <c r="G5" s="374">
        <v>4.0999999999999996</v>
      </c>
      <c r="H5" s="373">
        <f t="shared" ref="H5:H26" si="2">$B5*G5%</f>
        <v>1024.9999999999998</v>
      </c>
      <c r="I5" s="372">
        <v>4.3099999999999996</v>
      </c>
      <c r="J5" s="373">
        <f t="shared" ref="J5:J26" si="3">$B5*I5%</f>
        <v>1077.5</v>
      </c>
      <c r="K5" s="372">
        <v>4.51</v>
      </c>
      <c r="L5" s="373">
        <f t="shared" ref="L5:L26" si="4">$B5*K5%</f>
        <v>1127.5</v>
      </c>
    </row>
    <row r="6" spans="1:12" ht="15.6" x14ac:dyDescent="0.3">
      <c r="A6" s="370">
        <v>3</v>
      </c>
      <c r="B6" s="371">
        <v>50000</v>
      </c>
      <c r="C6" s="372">
        <v>3.5</v>
      </c>
      <c r="D6" s="373">
        <f t="shared" si="0"/>
        <v>1750.0000000000002</v>
      </c>
      <c r="E6" s="372">
        <v>3.67</v>
      </c>
      <c r="F6" s="373">
        <f t="shared" si="1"/>
        <v>1834.9999999999998</v>
      </c>
      <c r="G6" s="374">
        <v>3.85</v>
      </c>
      <c r="H6" s="373">
        <f t="shared" si="2"/>
        <v>1925</v>
      </c>
      <c r="I6" s="372">
        <v>4.04</v>
      </c>
      <c r="J6" s="373">
        <f t="shared" si="3"/>
        <v>2020</v>
      </c>
      <c r="K6" s="372">
        <v>4.24</v>
      </c>
      <c r="L6" s="373">
        <f t="shared" si="4"/>
        <v>2120</v>
      </c>
    </row>
    <row r="7" spans="1:12" ht="15.6" x14ac:dyDescent="0.3">
      <c r="A7" s="370">
        <v>4</v>
      </c>
      <c r="B7" s="371">
        <v>75000</v>
      </c>
      <c r="C7" s="372">
        <v>3.32</v>
      </c>
      <c r="D7" s="373">
        <f t="shared" si="0"/>
        <v>2490</v>
      </c>
      <c r="E7" s="372">
        <v>3.48</v>
      </c>
      <c r="F7" s="373">
        <f t="shared" si="1"/>
        <v>2610</v>
      </c>
      <c r="G7" s="374">
        <v>3.65</v>
      </c>
      <c r="H7" s="373">
        <f t="shared" si="2"/>
        <v>2737.5</v>
      </c>
      <c r="I7" s="372">
        <v>3.83</v>
      </c>
      <c r="J7" s="373">
        <f t="shared" si="3"/>
        <v>2872.5</v>
      </c>
      <c r="K7" s="372">
        <v>4.0199999999999996</v>
      </c>
      <c r="L7" s="373">
        <f t="shared" si="4"/>
        <v>3014.9999999999995</v>
      </c>
    </row>
    <row r="8" spans="1:12" ht="15.6" x14ac:dyDescent="0.3">
      <c r="A8" s="370">
        <v>5</v>
      </c>
      <c r="B8" s="371">
        <v>100000</v>
      </c>
      <c r="C8" s="372">
        <v>3.16</v>
      </c>
      <c r="D8" s="373">
        <f t="shared" si="0"/>
        <v>3160.0000000000005</v>
      </c>
      <c r="E8" s="372">
        <v>3.31</v>
      </c>
      <c r="F8" s="373">
        <f t="shared" si="1"/>
        <v>3309.9999999999995</v>
      </c>
      <c r="G8" s="374">
        <v>3.48</v>
      </c>
      <c r="H8" s="373">
        <f t="shared" si="2"/>
        <v>3479.9999999999995</v>
      </c>
      <c r="I8" s="372">
        <v>3.65</v>
      </c>
      <c r="J8" s="373">
        <f t="shared" si="3"/>
        <v>3649.9999999999995</v>
      </c>
      <c r="K8" s="372">
        <v>3.83</v>
      </c>
      <c r="L8" s="373">
        <f t="shared" si="4"/>
        <v>3830</v>
      </c>
    </row>
    <row r="9" spans="1:12" ht="15.6" x14ac:dyDescent="0.3">
      <c r="A9" s="370">
        <v>6</v>
      </c>
      <c r="B9" s="371">
        <v>125000</v>
      </c>
      <c r="C9" s="372">
        <v>3</v>
      </c>
      <c r="D9" s="373">
        <f t="shared" si="0"/>
        <v>3750</v>
      </c>
      <c r="E9" s="372">
        <v>3.14</v>
      </c>
      <c r="F9" s="373">
        <f t="shared" si="1"/>
        <v>3925.0000000000005</v>
      </c>
      <c r="G9" s="374">
        <v>3.3</v>
      </c>
      <c r="H9" s="373">
        <f t="shared" si="2"/>
        <v>4125</v>
      </c>
      <c r="I9" s="372">
        <v>3.47</v>
      </c>
      <c r="J9" s="373">
        <f t="shared" si="3"/>
        <v>4337.5</v>
      </c>
      <c r="K9" s="372">
        <v>3.63</v>
      </c>
      <c r="L9" s="373">
        <f t="shared" si="4"/>
        <v>4537.5</v>
      </c>
    </row>
    <row r="10" spans="1:12" ht="15.6" x14ac:dyDescent="0.3">
      <c r="A10" s="370">
        <v>7</v>
      </c>
      <c r="B10" s="371">
        <v>150000</v>
      </c>
      <c r="C10" s="372">
        <v>2.86</v>
      </c>
      <c r="D10" s="373">
        <f t="shared" si="0"/>
        <v>4290</v>
      </c>
      <c r="E10" s="372">
        <v>3</v>
      </c>
      <c r="F10" s="373">
        <f t="shared" si="1"/>
        <v>4500</v>
      </c>
      <c r="G10" s="374">
        <v>3.15</v>
      </c>
      <c r="H10" s="373">
        <f t="shared" si="2"/>
        <v>4725</v>
      </c>
      <c r="I10" s="372">
        <v>3.31</v>
      </c>
      <c r="J10" s="373">
        <f t="shared" si="3"/>
        <v>4965</v>
      </c>
      <c r="K10" s="372">
        <v>3.47</v>
      </c>
      <c r="L10" s="373">
        <f t="shared" si="4"/>
        <v>5205</v>
      </c>
    </row>
    <row r="11" spans="1:12" ht="15.6" x14ac:dyDescent="0.3">
      <c r="A11" s="370">
        <v>8</v>
      </c>
      <c r="B11" s="371">
        <v>175000</v>
      </c>
      <c r="C11" s="372">
        <v>2.75</v>
      </c>
      <c r="D11" s="373">
        <f t="shared" si="0"/>
        <v>4812.5</v>
      </c>
      <c r="E11" s="372">
        <v>2.89</v>
      </c>
      <c r="F11" s="373">
        <f t="shared" si="1"/>
        <v>5057.5</v>
      </c>
      <c r="G11" s="374">
        <v>3.03</v>
      </c>
      <c r="H11" s="373">
        <f t="shared" si="2"/>
        <v>5302.4999999999991</v>
      </c>
      <c r="I11" s="372">
        <v>3.18</v>
      </c>
      <c r="J11" s="373">
        <f t="shared" si="3"/>
        <v>5565</v>
      </c>
      <c r="K11" s="372">
        <v>3.33</v>
      </c>
      <c r="L11" s="373">
        <f t="shared" si="4"/>
        <v>5827.5000000000009</v>
      </c>
    </row>
    <row r="12" spans="1:12" ht="15.6" x14ac:dyDescent="0.3">
      <c r="A12" s="370">
        <v>9</v>
      </c>
      <c r="B12" s="371">
        <v>200000</v>
      </c>
      <c r="C12" s="372">
        <v>2.64</v>
      </c>
      <c r="D12" s="373">
        <f t="shared" si="0"/>
        <v>5280</v>
      </c>
      <c r="E12" s="372">
        <v>2.76</v>
      </c>
      <c r="F12" s="373">
        <f t="shared" si="1"/>
        <v>5520</v>
      </c>
      <c r="G12" s="374">
        <v>2.9</v>
      </c>
      <c r="H12" s="373">
        <f t="shared" si="2"/>
        <v>5800</v>
      </c>
      <c r="I12" s="372">
        <v>3.05</v>
      </c>
      <c r="J12" s="373">
        <f t="shared" si="3"/>
        <v>6100</v>
      </c>
      <c r="K12" s="372">
        <v>3.19</v>
      </c>
      <c r="L12" s="373">
        <f t="shared" si="4"/>
        <v>6380</v>
      </c>
    </row>
    <row r="13" spans="1:12" ht="15.6" x14ac:dyDescent="0.3">
      <c r="A13" s="370">
        <v>10</v>
      </c>
      <c r="B13" s="371">
        <v>225000</v>
      </c>
      <c r="C13" s="372">
        <v>2.5499999999999998</v>
      </c>
      <c r="D13" s="373">
        <f t="shared" si="0"/>
        <v>5737.5</v>
      </c>
      <c r="E13" s="372">
        <v>2.67</v>
      </c>
      <c r="F13" s="373">
        <f t="shared" si="1"/>
        <v>6007.5</v>
      </c>
      <c r="G13" s="374">
        <v>2.8</v>
      </c>
      <c r="H13" s="373">
        <f t="shared" si="2"/>
        <v>6299.9999999999991</v>
      </c>
      <c r="I13" s="372">
        <v>2.94</v>
      </c>
      <c r="J13" s="373">
        <f t="shared" si="3"/>
        <v>6615</v>
      </c>
      <c r="K13" s="372">
        <v>3.08</v>
      </c>
      <c r="L13" s="373">
        <f t="shared" si="4"/>
        <v>6930</v>
      </c>
    </row>
    <row r="14" spans="1:12" ht="15.6" x14ac:dyDescent="0.3">
      <c r="A14" s="370">
        <v>11</v>
      </c>
      <c r="B14" s="371">
        <v>250000</v>
      </c>
      <c r="C14" s="372">
        <v>2.4500000000000002</v>
      </c>
      <c r="D14" s="373">
        <f t="shared" si="0"/>
        <v>6125</v>
      </c>
      <c r="E14" s="372">
        <v>2.57</v>
      </c>
      <c r="F14" s="373">
        <f t="shared" si="1"/>
        <v>6424.9999999999991</v>
      </c>
      <c r="G14" s="374">
        <v>2.7</v>
      </c>
      <c r="H14" s="373">
        <f t="shared" si="2"/>
        <v>6750.0000000000009</v>
      </c>
      <c r="I14" s="372">
        <v>2.84</v>
      </c>
      <c r="J14" s="373">
        <f t="shared" si="3"/>
        <v>7099.9999999999991</v>
      </c>
      <c r="K14" s="372">
        <v>2.97</v>
      </c>
      <c r="L14" s="373">
        <f t="shared" si="4"/>
        <v>7425</v>
      </c>
    </row>
    <row r="15" spans="1:12" ht="15.6" x14ac:dyDescent="0.3">
      <c r="A15" s="370">
        <v>12</v>
      </c>
      <c r="B15" s="371">
        <v>500000</v>
      </c>
      <c r="C15" s="372">
        <v>2.36</v>
      </c>
      <c r="D15" s="373">
        <f t="shared" si="0"/>
        <v>11800</v>
      </c>
      <c r="E15" s="372">
        <v>2.48</v>
      </c>
      <c r="F15" s="373">
        <f t="shared" si="1"/>
        <v>12400</v>
      </c>
      <c r="G15" s="374">
        <v>2.6</v>
      </c>
      <c r="H15" s="373">
        <f t="shared" si="2"/>
        <v>13000.000000000002</v>
      </c>
      <c r="I15" s="372">
        <v>2.73</v>
      </c>
      <c r="J15" s="373">
        <f t="shared" si="3"/>
        <v>13650</v>
      </c>
      <c r="K15" s="372">
        <v>2.86</v>
      </c>
      <c r="L15" s="373">
        <f t="shared" si="4"/>
        <v>14300</v>
      </c>
    </row>
    <row r="16" spans="1:12" ht="15.6" x14ac:dyDescent="0.3">
      <c r="A16" s="370">
        <v>13</v>
      </c>
      <c r="B16" s="371">
        <v>750000</v>
      </c>
      <c r="C16" s="372">
        <v>2.27</v>
      </c>
      <c r="D16" s="373">
        <f t="shared" si="0"/>
        <v>17025</v>
      </c>
      <c r="E16" s="372">
        <v>2.38</v>
      </c>
      <c r="F16" s="373">
        <f t="shared" si="1"/>
        <v>17850</v>
      </c>
      <c r="G16" s="374">
        <v>2.5</v>
      </c>
      <c r="H16" s="373">
        <f t="shared" si="2"/>
        <v>18750</v>
      </c>
      <c r="I16" s="372">
        <v>2.63</v>
      </c>
      <c r="J16" s="373">
        <f t="shared" si="3"/>
        <v>19725</v>
      </c>
      <c r="K16" s="372">
        <v>2.75</v>
      </c>
      <c r="L16" s="373">
        <f t="shared" si="4"/>
        <v>20625</v>
      </c>
    </row>
    <row r="17" spans="1:12" ht="15.6" x14ac:dyDescent="0.3">
      <c r="A17" s="370">
        <v>14</v>
      </c>
      <c r="B17" s="371">
        <v>1000000</v>
      </c>
      <c r="C17" s="372">
        <v>2.17</v>
      </c>
      <c r="D17" s="373">
        <f t="shared" si="0"/>
        <v>21700</v>
      </c>
      <c r="E17" s="372">
        <v>2.2799999999999998</v>
      </c>
      <c r="F17" s="373">
        <f t="shared" si="1"/>
        <v>22799.999999999996</v>
      </c>
      <c r="G17" s="374">
        <v>2.39</v>
      </c>
      <c r="H17" s="373">
        <f t="shared" si="2"/>
        <v>23900</v>
      </c>
      <c r="I17" s="372">
        <v>2.5099999999999998</v>
      </c>
      <c r="J17" s="373">
        <f t="shared" si="3"/>
        <v>25099.999999999996</v>
      </c>
      <c r="K17" s="372">
        <v>2.63</v>
      </c>
      <c r="L17" s="373">
        <f t="shared" si="4"/>
        <v>26300</v>
      </c>
    </row>
    <row r="18" spans="1:12" ht="15.6" x14ac:dyDescent="0.3">
      <c r="A18" s="370">
        <v>15</v>
      </c>
      <c r="B18" s="371">
        <v>1250000</v>
      </c>
      <c r="C18" s="372">
        <v>2.09</v>
      </c>
      <c r="D18" s="373">
        <f t="shared" si="0"/>
        <v>26124.999999999996</v>
      </c>
      <c r="E18" s="372">
        <v>2.19</v>
      </c>
      <c r="F18" s="373">
        <f t="shared" si="1"/>
        <v>27375</v>
      </c>
      <c r="G18" s="374">
        <v>2.2999999999999998</v>
      </c>
      <c r="H18" s="373">
        <f t="shared" si="2"/>
        <v>28750</v>
      </c>
      <c r="I18" s="372">
        <v>2.42</v>
      </c>
      <c r="J18" s="373">
        <f t="shared" si="3"/>
        <v>30250</v>
      </c>
      <c r="K18" s="372">
        <v>2.5299999999999998</v>
      </c>
      <c r="L18" s="373">
        <f t="shared" si="4"/>
        <v>31625</v>
      </c>
    </row>
    <row r="19" spans="1:12" ht="15.6" x14ac:dyDescent="0.3">
      <c r="A19" s="370">
        <v>16</v>
      </c>
      <c r="B19" s="371">
        <v>1875000</v>
      </c>
      <c r="C19" s="372">
        <v>2</v>
      </c>
      <c r="D19" s="373">
        <f t="shared" si="0"/>
        <v>37500</v>
      </c>
      <c r="E19" s="372">
        <v>2.1</v>
      </c>
      <c r="F19" s="373">
        <f t="shared" si="1"/>
        <v>39375</v>
      </c>
      <c r="G19" s="374">
        <v>2.2000000000000002</v>
      </c>
      <c r="H19" s="373">
        <f t="shared" si="2"/>
        <v>41250.000000000007</v>
      </c>
      <c r="I19" s="372">
        <v>2.31</v>
      </c>
      <c r="J19" s="373">
        <f t="shared" si="3"/>
        <v>43312.5</v>
      </c>
      <c r="K19" s="372">
        <v>2.42</v>
      </c>
      <c r="L19" s="373">
        <f t="shared" si="4"/>
        <v>45375</v>
      </c>
    </row>
    <row r="20" spans="1:12" ht="15.6" x14ac:dyDescent="0.3">
      <c r="A20" s="370">
        <v>17</v>
      </c>
      <c r="B20" s="371">
        <v>2500000</v>
      </c>
      <c r="C20" s="372">
        <v>1.91</v>
      </c>
      <c r="D20" s="373">
        <f t="shared" si="0"/>
        <v>47750</v>
      </c>
      <c r="E20" s="372">
        <v>2</v>
      </c>
      <c r="F20" s="373">
        <f t="shared" si="1"/>
        <v>50000</v>
      </c>
      <c r="G20" s="374">
        <v>2.1</v>
      </c>
      <c r="H20" s="373">
        <f t="shared" si="2"/>
        <v>52500</v>
      </c>
      <c r="I20" s="372">
        <v>2.21</v>
      </c>
      <c r="J20" s="373">
        <f t="shared" si="3"/>
        <v>55249.999999999993</v>
      </c>
      <c r="K20" s="372">
        <v>2.31</v>
      </c>
      <c r="L20" s="373">
        <f t="shared" si="4"/>
        <v>57750</v>
      </c>
    </row>
    <row r="21" spans="1:12" ht="15.6" x14ac:dyDescent="0.3">
      <c r="A21" s="370">
        <v>18</v>
      </c>
      <c r="B21" s="371">
        <v>3750000</v>
      </c>
      <c r="C21" s="372">
        <v>1.84</v>
      </c>
      <c r="D21" s="373">
        <f t="shared" si="0"/>
        <v>69000</v>
      </c>
      <c r="E21" s="372">
        <v>1.92</v>
      </c>
      <c r="F21" s="373">
        <f t="shared" si="1"/>
        <v>72000</v>
      </c>
      <c r="G21" s="374">
        <v>2.02</v>
      </c>
      <c r="H21" s="373">
        <f t="shared" si="2"/>
        <v>75750</v>
      </c>
      <c r="I21" s="372">
        <v>2.12</v>
      </c>
      <c r="J21" s="373">
        <f t="shared" si="3"/>
        <v>79500</v>
      </c>
      <c r="K21" s="372">
        <v>2.2200000000000002</v>
      </c>
      <c r="L21" s="373">
        <f t="shared" si="4"/>
        <v>83250</v>
      </c>
    </row>
    <row r="22" spans="1:12" ht="15.6" x14ac:dyDescent="0.3">
      <c r="A22" s="370">
        <v>19</v>
      </c>
      <c r="B22" s="371">
        <v>5000000</v>
      </c>
      <c r="C22" s="372">
        <v>1.75</v>
      </c>
      <c r="D22" s="373">
        <f t="shared" si="0"/>
        <v>87500.000000000015</v>
      </c>
      <c r="E22" s="372">
        <v>1.84</v>
      </c>
      <c r="F22" s="373">
        <f t="shared" si="1"/>
        <v>92000</v>
      </c>
      <c r="G22" s="374">
        <v>1.93</v>
      </c>
      <c r="H22" s="373">
        <f t="shared" si="2"/>
        <v>96499.999999999985</v>
      </c>
      <c r="I22" s="372">
        <v>2.0299999999999998</v>
      </c>
      <c r="J22" s="373">
        <f t="shared" si="3"/>
        <v>101500</v>
      </c>
      <c r="K22" s="372">
        <v>2.12</v>
      </c>
      <c r="L22" s="373">
        <f t="shared" si="4"/>
        <v>106000</v>
      </c>
    </row>
    <row r="23" spans="1:12" ht="15.6" x14ac:dyDescent="0.3">
      <c r="A23" s="370">
        <v>20</v>
      </c>
      <c r="B23" s="371">
        <v>7500000</v>
      </c>
      <c r="C23" s="372">
        <v>1.66</v>
      </c>
      <c r="D23" s="373">
        <f t="shared" si="0"/>
        <v>124500</v>
      </c>
      <c r="E23" s="372">
        <v>1.74</v>
      </c>
      <c r="F23" s="373">
        <f t="shared" si="1"/>
        <v>130499.99999999999</v>
      </c>
      <c r="G23" s="374">
        <v>1.83</v>
      </c>
      <c r="H23" s="373">
        <f t="shared" si="2"/>
        <v>137250</v>
      </c>
      <c r="I23" s="372">
        <v>1.92</v>
      </c>
      <c r="J23" s="373">
        <f t="shared" si="3"/>
        <v>144000</v>
      </c>
      <c r="K23" s="372">
        <v>2.0099999999999998</v>
      </c>
      <c r="L23" s="373">
        <f t="shared" si="4"/>
        <v>150749.99999999997</v>
      </c>
    </row>
    <row r="24" spans="1:12" ht="15.6" x14ac:dyDescent="0.3">
      <c r="A24" s="370">
        <v>21</v>
      </c>
      <c r="B24" s="371">
        <v>12500000</v>
      </c>
      <c r="C24" s="372">
        <v>1.59</v>
      </c>
      <c r="D24" s="373">
        <f t="shared" si="0"/>
        <v>198750</v>
      </c>
      <c r="E24" s="372">
        <v>1.67</v>
      </c>
      <c r="F24" s="373">
        <f t="shared" si="1"/>
        <v>208750</v>
      </c>
      <c r="G24" s="374">
        <v>1.75</v>
      </c>
      <c r="H24" s="373">
        <f t="shared" si="2"/>
        <v>218750.00000000003</v>
      </c>
      <c r="I24" s="372">
        <v>1.84</v>
      </c>
      <c r="J24" s="373">
        <f t="shared" si="3"/>
        <v>230000</v>
      </c>
      <c r="K24" s="372">
        <v>1.93</v>
      </c>
      <c r="L24" s="373">
        <f t="shared" si="4"/>
        <v>241249.99999999997</v>
      </c>
    </row>
    <row r="25" spans="1:12" ht="15.6" x14ac:dyDescent="0.3">
      <c r="A25" s="370">
        <v>22</v>
      </c>
      <c r="B25" s="371">
        <v>18750000</v>
      </c>
      <c r="C25" s="372">
        <v>1.51</v>
      </c>
      <c r="D25" s="373">
        <f t="shared" si="0"/>
        <v>283125</v>
      </c>
      <c r="E25" s="372">
        <v>1.58</v>
      </c>
      <c r="F25" s="373">
        <f t="shared" si="1"/>
        <v>296250</v>
      </c>
      <c r="G25" s="374">
        <v>1.66</v>
      </c>
      <c r="H25" s="373">
        <f t="shared" si="2"/>
        <v>311250</v>
      </c>
      <c r="I25" s="372">
        <v>1.74</v>
      </c>
      <c r="J25" s="373">
        <f t="shared" si="3"/>
        <v>326250</v>
      </c>
      <c r="K25" s="372">
        <v>1.83</v>
      </c>
      <c r="L25" s="373">
        <f t="shared" si="4"/>
        <v>343125</v>
      </c>
    </row>
    <row r="26" spans="1:12" ht="16.2" thickBot="1" x14ac:dyDescent="0.35">
      <c r="A26" s="375">
        <v>23</v>
      </c>
      <c r="B26" s="376">
        <v>25000000</v>
      </c>
      <c r="C26" s="377">
        <v>1.43</v>
      </c>
      <c r="D26" s="378">
        <f t="shared" si="0"/>
        <v>357500</v>
      </c>
      <c r="E26" s="377">
        <v>1.5</v>
      </c>
      <c r="F26" s="378">
        <f t="shared" si="1"/>
        <v>375000</v>
      </c>
      <c r="G26" s="379">
        <v>1.57</v>
      </c>
      <c r="H26" s="378">
        <f t="shared" si="2"/>
        <v>392500.00000000006</v>
      </c>
      <c r="I26" s="377">
        <v>1.65</v>
      </c>
      <c r="J26" s="378">
        <f t="shared" si="3"/>
        <v>412500</v>
      </c>
      <c r="K26" s="377">
        <v>1.73</v>
      </c>
      <c r="L26" s="378">
        <f t="shared" si="4"/>
        <v>432500</v>
      </c>
    </row>
  </sheetData>
  <mergeCells count="7">
    <mergeCell ref="I2:J2"/>
    <mergeCell ref="K2:L2"/>
    <mergeCell ref="B2:B3"/>
    <mergeCell ref="A2:A3"/>
    <mergeCell ref="C2:D2"/>
    <mergeCell ref="E2:F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I53"/>
  <sheetViews>
    <sheetView zoomScale="120" zoomScaleNormal="120" workbookViewId="0">
      <selection activeCell="I5" sqref="I5"/>
    </sheetView>
  </sheetViews>
  <sheetFormatPr defaultRowHeight="13.2" x14ac:dyDescent="0.25"/>
  <cols>
    <col min="5" max="5" width="10" customWidth="1"/>
    <col min="7" max="7" width="9.88671875" bestFit="1" customWidth="1"/>
  </cols>
  <sheetData>
    <row r="1" spans="1:9" x14ac:dyDescent="0.25">
      <c r="A1" s="35" t="s">
        <v>74</v>
      </c>
      <c r="B1" s="8"/>
      <c r="C1" s="445" t="s">
        <v>304</v>
      </c>
      <c r="D1" s="445"/>
      <c r="E1" s="445"/>
      <c r="F1" s="445"/>
      <c r="G1" s="445"/>
      <c r="H1" s="445"/>
      <c r="I1" s="445"/>
    </row>
    <row r="2" spans="1:9" x14ac:dyDescent="0.25">
      <c r="A2" s="35" t="s">
        <v>155</v>
      </c>
      <c r="B2" s="8"/>
      <c r="C2" s="445" t="s">
        <v>156</v>
      </c>
      <c r="D2" s="445"/>
      <c r="E2" s="445"/>
      <c r="F2" s="445"/>
      <c r="G2" s="445"/>
      <c r="H2" s="445"/>
      <c r="I2" s="445"/>
    </row>
    <row r="3" spans="1:9" x14ac:dyDescent="0.25">
      <c r="A3" s="35" t="s">
        <v>157</v>
      </c>
      <c r="B3" s="8"/>
      <c r="C3" s="445"/>
      <c r="D3" s="445"/>
      <c r="E3" s="445"/>
      <c r="F3" s="445"/>
      <c r="G3" s="445"/>
      <c r="H3" s="445"/>
      <c r="I3" s="445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7.399999999999999" x14ac:dyDescent="0.3">
      <c r="A5" s="35"/>
      <c r="B5" s="35"/>
      <c r="C5" s="446" t="s">
        <v>158</v>
      </c>
      <c r="D5" s="447"/>
      <c r="E5" s="447"/>
      <c r="F5" s="448"/>
      <c r="G5" s="98">
        <v>1</v>
      </c>
      <c r="H5" s="35"/>
      <c r="I5" s="35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15.6" x14ac:dyDescent="0.3">
      <c r="A7" s="8"/>
      <c r="B7" s="8"/>
      <c r="C7" s="8"/>
      <c r="D7" s="449" t="s">
        <v>159</v>
      </c>
      <c r="E7" s="449"/>
      <c r="F7" s="449"/>
      <c r="G7" s="8"/>
      <c r="H7" s="8"/>
      <c r="I7" s="8"/>
    </row>
    <row r="8" spans="1:9" ht="15.6" x14ac:dyDescent="0.3">
      <c r="A8" s="8"/>
      <c r="B8" s="8"/>
      <c r="C8" s="8"/>
      <c r="D8" s="99"/>
      <c r="E8" s="99"/>
      <c r="F8" s="99"/>
      <c r="G8" s="8"/>
      <c r="H8" s="8"/>
      <c r="I8" s="8"/>
    </row>
    <row r="9" spans="1:9" x14ac:dyDescent="0.25">
      <c r="A9" s="8"/>
      <c r="B9" s="450" t="s">
        <v>160</v>
      </c>
      <c r="C9" s="450"/>
      <c r="D9" s="451" t="s">
        <v>161</v>
      </c>
      <c r="E9" s="452"/>
      <c r="F9" s="452"/>
      <c r="G9" s="453"/>
      <c r="H9" s="8"/>
      <c r="I9" s="8"/>
    </row>
    <row r="10" spans="1:9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425" t="s">
        <v>162</v>
      </c>
      <c r="B11" s="425"/>
      <c r="C11" s="27" t="s">
        <v>4</v>
      </c>
      <c r="D11" s="454" t="s">
        <v>163</v>
      </c>
      <c r="E11" s="455"/>
      <c r="F11" s="100" t="s">
        <v>164</v>
      </c>
      <c r="G11" s="456" t="s">
        <v>165</v>
      </c>
      <c r="H11" s="457"/>
      <c r="I11" s="35"/>
    </row>
    <row r="12" spans="1:9" x14ac:dyDescent="0.25">
      <c r="A12" s="8"/>
      <c r="B12" s="101"/>
      <c r="C12" s="101"/>
      <c r="D12" s="8"/>
      <c r="E12" s="8"/>
      <c r="F12" s="8"/>
      <c r="G12" s="8"/>
      <c r="H12" s="8"/>
      <c r="I12" s="8"/>
    </row>
    <row r="13" spans="1:9" x14ac:dyDescent="0.25">
      <c r="A13" s="102" t="s">
        <v>166</v>
      </c>
      <c r="B13" s="458" t="s">
        <v>167</v>
      </c>
      <c r="C13" s="459"/>
      <c r="D13" s="103" t="s">
        <v>168</v>
      </c>
      <c r="E13" s="104"/>
      <c r="F13" s="435" t="str">
        <f>C2</f>
        <v>инж. Атанас Тодоров</v>
      </c>
      <c r="G13" s="435"/>
      <c r="H13" s="435"/>
      <c r="I13" s="435"/>
    </row>
    <row r="14" spans="1:9" x14ac:dyDescent="0.25">
      <c r="A14" s="444" t="s">
        <v>169</v>
      </c>
      <c r="B14" s="444"/>
      <c r="C14" s="444"/>
      <c r="D14" s="444"/>
      <c r="E14" s="444"/>
      <c r="F14" s="444"/>
      <c r="G14" s="444"/>
      <c r="H14" s="444"/>
      <c r="I14" s="444"/>
    </row>
    <row r="15" spans="1:9" x14ac:dyDescent="0.25">
      <c r="A15" s="436" t="s">
        <v>170</v>
      </c>
      <c r="B15" s="436"/>
      <c r="C15" s="436"/>
      <c r="D15" s="436"/>
      <c r="E15" s="437"/>
      <c r="F15" s="438" t="str">
        <f>D9</f>
        <v>АВТОРСКИ НАДЗОР</v>
      </c>
      <c r="G15" s="439"/>
      <c r="H15" s="439"/>
      <c r="I15" s="440"/>
    </row>
    <row r="16" spans="1:9" x14ac:dyDescent="0.25">
      <c r="A16" s="436" t="s">
        <v>171</v>
      </c>
      <c r="B16" s="436"/>
      <c r="C16" s="436"/>
      <c r="D16" s="436"/>
      <c r="E16" s="436"/>
      <c r="F16" s="436"/>
      <c r="G16" s="436"/>
      <c r="H16" s="436"/>
      <c r="I16" s="436"/>
    </row>
    <row r="17" spans="1:9" x14ac:dyDescent="0.25">
      <c r="A17" s="441" t="s">
        <v>172</v>
      </c>
      <c r="B17" s="441"/>
      <c r="C17" s="441"/>
      <c r="D17" s="441"/>
      <c r="E17" s="441"/>
      <c r="F17" s="441"/>
      <c r="G17" s="441"/>
      <c r="H17" s="441"/>
      <c r="I17" s="441"/>
    </row>
    <row r="18" spans="1:9" x14ac:dyDescent="0.25">
      <c r="A18" s="441" t="s">
        <v>173</v>
      </c>
      <c r="B18" s="441"/>
      <c r="C18" s="441"/>
      <c r="D18" s="441"/>
      <c r="E18" s="441"/>
      <c r="F18" s="441"/>
      <c r="G18" s="441"/>
      <c r="H18" s="441"/>
      <c r="I18" s="441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442" t="s">
        <v>174</v>
      </c>
      <c r="B20" s="442"/>
      <c r="C20" s="442"/>
      <c r="D20" s="442"/>
      <c r="E20" s="442"/>
      <c r="F20" s="442"/>
      <c r="G20" s="442"/>
      <c r="H20" s="442"/>
      <c r="I20" s="442"/>
    </row>
    <row r="21" spans="1:9" x14ac:dyDescent="0.25">
      <c r="A21" s="136" t="s">
        <v>4</v>
      </c>
      <c r="B21" s="443" t="s">
        <v>175</v>
      </c>
      <c r="C21" s="443"/>
      <c r="D21" s="443"/>
      <c r="E21" s="443"/>
      <c r="F21" s="136" t="s">
        <v>118</v>
      </c>
      <c r="G21" s="136" t="s">
        <v>122</v>
      </c>
      <c r="H21" s="136" t="s">
        <v>176</v>
      </c>
      <c r="I21" s="136" t="s">
        <v>177</v>
      </c>
    </row>
    <row r="22" spans="1:9" x14ac:dyDescent="0.25">
      <c r="A22" s="137">
        <v>1</v>
      </c>
      <c r="B22" s="138" t="s">
        <v>208</v>
      </c>
      <c r="C22" s="138"/>
      <c r="D22" s="138"/>
      <c r="E22" s="138"/>
      <c r="F22" s="137" t="s">
        <v>178</v>
      </c>
      <c r="G22" s="139">
        <v>1</v>
      </c>
      <c r="H22" s="140">
        <f>IF(G22&gt;0,Доп_разходи!B7,0)</f>
        <v>102.2583762392437</v>
      </c>
      <c r="I22" s="141">
        <f>G22*H22</f>
        <v>102.2583762392437</v>
      </c>
    </row>
    <row r="23" spans="1:9" x14ac:dyDescent="0.25">
      <c r="A23" s="137">
        <v>2</v>
      </c>
      <c r="B23" s="421" t="s">
        <v>207</v>
      </c>
      <c r="C23" s="421"/>
      <c r="D23" s="421"/>
      <c r="E23" s="421"/>
      <c r="F23" s="137" t="s">
        <v>178</v>
      </c>
      <c r="G23" s="139">
        <v>0</v>
      </c>
      <c r="H23" s="140">
        <f>IF(G23&gt;0,Доп_разходи!B8,0)</f>
        <v>0</v>
      </c>
      <c r="I23" s="141">
        <f>G23*H23</f>
        <v>0</v>
      </c>
    </row>
    <row r="24" spans="1:9" x14ac:dyDescent="0.25">
      <c r="A24" s="137">
        <v>3</v>
      </c>
      <c r="B24" s="421" t="s">
        <v>206</v>
      </c>
      <c r="C24" s="421"/>
      <c r="D24" s="421"/>
      <c r="E24" s="421"/>
      <c r="F24" s="137" t="s">
        <v>178</v>
      </c>
      <c r="G24" s="139">
        <v>0</v>
      </c>
      <c r="H24" s="140">
        <f>IF(G24&gt;0,Доп_разходи!B9,0)</f>
        <v>0</v>
      </c>
      <c r="I24" s="141">
        <f>G24*H24</f>
        <v>0</v>
      </c>
    </row>
    <row r="25" spans="1:9" x14ac:dyDescent="0.25">
      <c r="A25" s="137">
        <v>4</v>
      </c>
      <c r="B25" s="421" t="s">
        <v>203</v>
      </c>
      <c r="C25" s="421"/>
      <c r="D25" s="421"/>
      <c r="E25" s="421"/>
      <c r="F25" s="137" t="s">
        <v>296</v>
      </c>
      <c r="G25" s="139" t="s">
        <v>179</v>
      </c>
      <c r="H25" s="140">
        <f>IF(G25="ДА",Доп_разходи!I6,0)</f>
        <v>25.564594059810926</v>
      </c>
      <c r="I25" s="141">
        <f t="shared" ref="I25:I26" si="0">H25</f>
        <v>25.564594059810926</v>
      </c>
    </row>
    <row r="26" spans="1:9" x14ac:dyDescent="0.25">
      <c r="A26" s="137">
        <v>5</v>
      </c>
      <c r="B26" s="421" t="s">
        <v>204</v>
      </c>
      <c r="C26" s="421"/>
      <c r="D26" s="421"/>
      <c r="E26" s="421"/>
      <c r="F26" s="137" t="s">
        <v>296</v>
      </c>
      <c r="G26" s="139" t="s">
        <v>179</v>
      </c>
      <c r="H26" s="140">
        <f>IF(G26="ДА",Доп_разходи!I10,0)</f>
        <v>109.07560132185995</v>
      </c>
      <c r="I26" s="141">
        <f t="shared" si="0"/>
        <v>109.07560132185995</v>
      </c>
    </row>
    <row r="27" spans="1:9" x14ac:dyDescent="0.25">
      <c r="A27" s="137">
        <v>6</v>
      </c>
      <c r="B27" s="421" t="s">
        <v>205</v>
      </c>
      <c r="C27" s="421"/>
      <c r="D27" s="421"/>
      <c r="E27" s="421"/>
      <c r="F27" s="137" t="s">
        <v>296</v>
      </c>
      <c r="G27" s="139" t="s">
        <v>179</v>
      </c>
      <c r="H27" s="140">
        <f>IF(G27="ДА",Доп_разходи!I27,0)</f>
        <v>6.4</v>
      </c>
      <c r="I27" s="141">
        <f>H27</f>
        <v>6.4</v>
      </c>
    </row>
    <row r="28" spans="1:9" ht="15.6" x14ac:dyDescent="0.3">
      <c r="A28" s="422" t="s">
        <v>301</v>
      </c>
      <c r="B28" s="422"/>
      <c r="C28" s="422"/>
      <c r="D28" s="422"/>
      <c r="E28" s="422"/>
      <c r="F28" s="422"/>
      <c r="G28" s="422"/>
      <c r="H28" s="422"/>
      <c r="I28" s="142">
        <f>SUM(I22:I27)</f>
        <v>243.2985716209146</v>
      </c>
    </row>
    <row r="29" spans="1:9" x14ac:dyDescent="0.25">
      <c r="A29" s="423" t="s">
        <v>180</v>
      </c>
      <c r="B29" s="423"/>
      <c r="C29" s="423"/>
      <c r="D29" s="423"/>
      <c r="E29" s="423"/>
      <c r="F29" s="423"/>
      <c r="G29" s="423"/>
      <c r="H29" s="423"/>
      <c r="I29" s="423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 t="s">
        <v>181</v>
      </c>
      <c r="E31" s="105" t="s">
        <v>182</v>
      </c>
      <c r="F31" s="419" t="str">
        <f>C2</f>
        <v>инж. Атанас Тодоров</v>
      </c>
      <c r="G31" s="419"/>
      <c r="H31" s="419"/>
      <c r="I31" s="106" t="s">
        <v>182</v>
      </c>
    </row>
    <row r="32" spans="1:9" x14ac:dyDescent="0.25">
      <c r="A32" s="8"/>
      <c r="B32" s="8"/>
      <c r="C32" s="8"/>
      <c r="D32" s="8"/>
    </row>
    <row r="33" spans="1:9" x14ac:dyDescent="0.25">
      <c r="A33" s="8"/>
      <c r="B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107"/>
    </row>
    <row r="37" spans="1:9" ht="17.399999999999999" x14ac:dyDescent="0.3">
      <c r="A37" s="8"/>
      <c r="B37" s="8"/>
      <c r="C37" s="8"/>
      <c r="D37" s="424" t="s">
        <v>183</v>
      </c>
      <c r="E37" s="424"/>
      <c r="F37" s="108">
        <f>G5</f>
        <v>1</v>
      </c>
      <c r="G37" s="8"/>
      <c r="H37" s="8"/>
      <c r="I37" s="107" t="s">
        <v>184</v>
      </c>
    </row>
    <row r="38" spans="1:9" ht="17.399999999999999" x14ac:dyDescent="0.3">
      <c r="A38" s="8"/>
      <c r="B38" s="8"/>
      <c r="C38" s="8"/>
      <c r="D38" s="109"/>
      <c r="E38" s="109"/>
      <c r="F38" s="110"/>
      <c r="G38" s="8"/>
      <c r="H38" s="8"/>
      <c r="I38" s="8"/>
    </row>
    <row r="39" spans="1:9" x14ac:dyDescent="0.25">
      <c r="A39" s="425" t="s">
        <v>185</v>
      </c>
      <c r="B39" s="425"/>
      <c r="C39" s="425"/>
      <c r="D39" s="425"/>
      <c r="E39" s="426"/>
      <c r="F39" s="427" t="str">
        <f>D9</f>
        <v>АВТОРСКИ НАДЗОР</v>
      </c>
      <c r="G39" s="428"/>
      <c r="H39" s="428"/>
      <c r="I39" s="429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425" t="s">
        <v>162</v>
      </c>
      <c r="B41" s="425"/>
      <c r="C41" s="27" t="s">
        <v>4</v>
      </c>
      <c r="D41" s="430" t="str">
        <f>D11</f>
        <v>АН-18</v>
      </c>
      <c r="E41" s="431"/>
      <c r="F41" s="100" t="s">
        <v>164</v>
      </c>
      <c r="G41" s="432" t="str">
        <f>G11</f>
        <v>10.12.2018</v>
      </c>
      <c r="H41" s="433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111"/>
      <c r="B43" s="102" t="s">
        <v>186</v>
      </c>
      <c r="C43" s="434" t="str">
        <f>B13</f>
        <v>24.02.2019</v>
      </c>
      <c r="D43" s="434"/>
      <c r="E43" s="112" t="s">
        <v>187</v>
      </c>
      <c r="F43" s="8"/>
      <c r="G43" s="8"/>
      <c r="H43" s="8"/>
      <c r="I43" s="8"/>
    </row>
    <row r="44" spans="1:9" x14ac:dyDescent="0.25">
      <c r="A44" s="111" t="s">
        <v>188</v>
      </c>
      <c r="B44" s="102"/>
      <c r="C44" s="435" t="str">
        <f>C1</f>
        <v>Иван Иванов</v>
      </c>
      <c r="D44" s="435"/>
      <c r="E44" s="435"/>
      <c r="F44" s="435"/>
      <c r="G44" s="435"/>
      <c r="H44" s="435"/>
      <c r="I44" s="435"/>
    </row>
    <row r="45" spans="1:9" x14ac:dyDescent="0.25">
      <c r="A45" s="111" t="s">
        <v>189</v>
      </c>
      <c r="B45" s="102"/>
      <c r="C45" s="420" t="str">
        <f>C2</f>
        <v>инж. Атанас Тодоров</v>
      </c>
      <c r="D45" s="420"/>
      <c r="E45" s="420"/>
      <c r="F45" s="420"/>
      <c r="G45" s="420"/>
      <c r="H45" s="420"/>
      <c r="I45" s="420"/>
    </row>
    <row r="46" spans="1:9" ht="33.75" customHeight="1" thickBot="1" x14ac:dyDescent="0.3">
      <c r="A46" s="416" t="s">
        <v>190</v>
      </c>
      <c r="B46" s="416"/>
      <c r="C46" s="416"/>
      <c r="D46" s="416"/>
      <c r="E46" s="416"/>
      <c r="F46" s="416"/>
      <c r="G46" s="416"/>
      <c r="H46" s="416"/>
      <c r="I46" s="416"/>
    </row>
    <row r="47" spans="1:9" ht="18.600000000000001" thickBot="1" x14ac:dyDescent="0.4">
      <c r="A47" s="113" t="s">
        <v>191</v>
      </c>
      <c r="B47" s="113"/>
      <c r="C47" s="113"/>
      <c r="D47" s="113"/>
      <c r="E47" s="8"/>
      <c r="F47" s="117">
        <f>I28</f>
        <v>243.2985716209146</v>
      </c>
      <c r="G47" s="114" t="s">
        <v>302</v>
      </c>
      <c r="H47" s="115"/>
      <c r="I47" s="111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ht="13.8" x14ac:dyDescent="0.3">
      <c r="A49" s="417" t="s">
        <v>192</v>
      </c>
      <c r="B49" s="417"/>
      <c r="C49" s="418" t="s">
        <v>193</v>
      </c>
      <c r="D49" s="418"/>
      <c r="E49" s="116">
        <f>G5</f>
        <v>1</v>
      </c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380" t="s">
        <v>155</v>
      </c>
      <c r="B51" s="380"/>
      <c r="C51" s="8"/>
      <c r="D51" s="8"/>
      <c r="E51" s="101" t="s">
        <v>74</v>
      </c>
      <c r="F51" s="101"/>
      <c r="G51" s="8"/>
      <c r="H51" s="8"/>
      <c r="I51" s="8"/>
    </row>
    <row r="52" spans="1:9" x14ac:dyDescent="0.25">
      <c r="A52" s="105"/>
      <c r="B52" s="419" t="str">
        <f>C2</f>
        <v>инж. Атанас Тодоров</v>
      </c>
      <c r="C52" s="419"/>
      <c r="D52" s="419"/>
      <c r="E52" s="8"/>
      <c r="F52" s="419" t="str">
        <f>C1</f>
        <v>Иван Иванов</v>
      </c>
      <c r="G52" s="419"/>
      <c r="H52" s="419"/>
      <c r="I52" s="419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43">
    <mergeCell ref="A14:I14"/>
    <mergeCell ref="C1:I1"/>
    <mergeCell ref="C2:I2"/>
    <mergeCell ref="C3:I3"/>
    <mergeCell ref="C5:F5"/>
    <mergeCell ref="D7:F7"/>
    <mergeCell ref="B9:C9"/>
    <mergeCell ref="D9:G9"/>
    <mergeCell ref="A11:B11"/>
    <mergeCell ref="D11:E11"/>
    <mergeCell ref="G11:H11"/>
    <mergeCell ref="B13:C13"/>
    <mergeCell ref="F13:I13"/>
    <mergeCell ref="B26:E26"/>
    <mergeCell ref="A15:E15"/>
    <mergeCell ref="F15:I15"/>
    <mergeCell ref="A16:I16"/>
    <mergeCell ref="A17:I17"/>
    <mergeCell ref="A18:I18"/>
    <mergeCell ref="A20:I20"/>
    <mergeCell ref="B21:E21"/>
    <mergeCell ref="B23:E23"/>
    <mergeCell ref="B24:E24"/>
    <mergeCell ref="B25:E25"/>
    <mergeCell ref="C45:I45"/>
    <mergeCell ref="B27:E27"/>
    <mergeCell ref="A28:H28"/>
    <mergeCell ref="A29:I29"/>
    <mergeCell ref="F31:H31"/>
    <mergeCell ref="D37:E37"/>
    <mergeCell ref="A39:E39"/>
    <mergeCell ref="F39:I39"/>
    <mergeCell ref="A41:B41"/>
    <mergeCell ref="D41:E41"/>
    <mergeCell ref="G41:H41"/>
    <mergeCell ref="C43:D43"/>
    <mergeCell ref="C44:I44"/>
    <mergeCell ref="A46:I46"/>
    <mergeCell ref="A49:B49"/>
    <mergeCell ref="C49:D49"/>
    <mergeCell ref="A51:B51"/>
    <mergeCell ref="B52:D52"/>
    <mergeCell ref="F52:I52"/>
  </mergeCells>
  <dataValidations count="2">
    <dataValidation type="list" allowBlank="1" showInputMessage="1" showErrorMessage="1" sqref="G25:G27" xr:uid="{00000000-0002-0000-0500-000000000000}">
      <formula1>"ДА,НЕ"</formula1>
    </dataValidation>
    <dataValidation type="list" allowBlank="1" showInputMessage="1" showErrorMessage="1" sqref="D9:G9" xr:uid="{00000000-0002-0000-0500-000001000000}">
      <formula1>"АВТОРСКИ НАДЗОР,ТЕХНИЧЕСКА КОНСУЛТАЦИЯ,ТЕХНИЧЕСКИ СЪВЕТ,ЕКСПЕРТИЗА,ПРИЕМАТЕЛНА КОМИСИЯ,РАБОТНА СРЕЩА,ТЕХНИЧЕСКА ПОМОЩ"</formula1>
    </dataValidation>
  </dataValidations>
  <printOptions horizontalCentered="1"/>
  <pageMargins left="1.1811023622047245" right="0.39370078740157483" top="0.98425196850393704" bottom="0.59055118110236227" header="0.39370078740157483" footer="0.19685039370078741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27"/>
  <sheetViews>
    <sheetView workbookViewId="0">
      <selection activeCell="I12" sqref="I12"/>
    </sheetView>
  </sheetViews>
  <sheetFormatPr defaultRowHeight="13.2" x14ac:dyDescent="0.25"/>
  <cols>
    <col min="1" max="1" width="3" bestFit="1" customWidth="1"/>
    <col min="2" max="2" width="8.88671875" customWidth="1"/>
    <col min="3" max="3" width="10.88671875" customWidth="1"/>
    <col min="4" max="4" width="64.21875" bestFit="1" customWidth="1"/>
    <col min="5" max="5" width="6.44140625" bestFit="1" customWidth="1"/>
    <col min="6" max="6" width="12" bestFit="1" customWidth="1"/>
    <col min="8" max="8" width="12.5546875" customWidth="1"/>
    <col min="9" max="9" width="13" customWidth="1"/>
  </cols>
  <sheetData>
    <row r="1" spans="1:9" x14ac:dyDescent="0.25">
      <c r="A1" s="460" t="s">
        <v>117</v>
      </c>
      <c r="B1" s="460"/>
      <c r="C1" s="460"/>
      <c r="D1" s="460"/>
      <c r="E1" s="460"/>
      <c r="F1" s="460"/>
      <c r="G1" s="460"/>
      <c r="H1" s="460"/>
      <c r="I1" s="460"/>
    </row>
    <row r="2" spans="1:9" x14ac:dyDescent="0.25">
      <c r="A2" s="1"/>
      <c r="B2" s="1"/>
      <c r="C2" s="1"/>
    </row>
    <row r="3" spans="1:9" x14ac:dyDescent="0.25">
      <c r="A3" s="123" t="s">
        <v>197</v>
      </c>
      <c r="B3" s="1"/>
      <c r="C3" s="1"/>
      <c r="E3" s="1"/>
      <c r="F3" s="124">
        <v>32</v>
      </c>
      <c r="G3" s="125" t="s">
        <v>119</v>
      </c>
    </row>
    <row r="4" spans="1:9" x14ac:dyDescent="0.25">
      <c r="A4" s="1"/>
      <c r="B4" s="1"/>
      <c r="C4" s="1"/>
    </row>
    <row r="5" spans="1:9" ht="39.6" x14ac:dyDescent="0.25">
      <c r="A5" s="38" t="s">
        <v>4</v>
      </c>
      <c r="B5" s="68" t="s">
        <v>121</v>
      </c>
      <c r="C5" s="68" t="s">
        <v>118</v>
      </c>
      <c r="D5" s="38" t="s">
        <v>198</v>
      </c>
      <c r="E5" s="62" t="s">
        <v>118</v>
      </c>
      <c r="F5" s="69" t="s">
        <v>196</v>
      </c>
      <c r="G5" s="69" t="s">
        <v>124</v>
      </c>
      <c r="H5" s="69" t="s">
        <v>123</v>
      </c>
      <c r="I5" s="38" t="s">
        <v>63</v>
      </c>
    </row>
    <row r="6" spans="1:9" x14ac:dyDescent="0.25">
      <c r="A6" s="119">
        <v>1</v>
      </c>
      <c r="B6" s="464"/>
      <c r="C6" s="118"/>
      <c r="D6" s="127" t="s">
        <v>295</v>
      </c>
      <c r="E6" s="62" t="s">
        <v>178</v>
      </c>
      <c r="F6" s="129"/>
      <c r="G6" s="70"/>
      <c r="H6" s="130"/>
      <c r="I6" s="131">
        <f>SUM(I7:I9)</f>
        <v>25.564594059810926</v>
      </c>
    </row>
    <row r="7" spans="1:9" x14ac:dyDescent="0.25">
      <c r="A7" s="119"/>
      <c r="B7" s="464">
        <f>'Хонорар СМЕТКА'!E70</f>
        <v>102.2583762392437</v>
      </c>
      <c r="C7" s="118" t="s">
        <v>294</v>
      </c>
      <c r="D7" s="127" t="s">
        <v>200</v>
      </c>
      <c r="E7" s="62" t="s">
        <v>178</v>
      </c>
      <c r="F7" s="128">
        <v>0.25</v>
      </c>
      <c r="G7" s="64">
        <v>1</v>
      </c>
      <c r="H7" s="133">
        <f t="shared" ref="H7:H8" si="0">F7*G7</f>
        <v>0.25</v>
      </c>
      <c r="I7" s="132">
        <f t="shared" ref="I7:I8" si="1">B7*H7</f>
        <v>25.564594059810926</v>
      </c>
    </row>
    <row r="8" spans="1:9" x14ac:dyDescent="0.25">
      <c r="A8" s="119"/>
      <c r="B8" s="464">
        <f>'Хонорар СМЕТКА'!E71</f>
        <v>81.806700991394962</v>
      </c>
      <c r="C8" s="118" t="s">
        <v>294</v>
      </c>
      <c r="D8" s="127" t="s">
        <v>202</v>
      </c>
      <c r="E8" s="62" t="s">
        <v>178</v>
      </c>
      <c r="F8" s="128">
        <v>0</v>
      </c>
      <c r="G8" s="64">
        <v>0</v>
      </c>
      <c r="H8" s="133">
        <f t="shared" si="0"/>
        <v>0</v>
      </c>
      <c r="I8" s="132">
        <f t="shared" si="1"/>
        <v>0</v>
      </c>
    </row>
    <row r="9" spans="1:9" x14ac:dyDescent="0.25">
      <c r="A9" s="119"/>
      <c r="B9" s="464">
        <f>'Хонорар СМЕТКА'!E72</f>
        <v>51.129188119621851</v>
      </c>
      <c r="C9" s="118" t="s">
        <v>294</v>
      </c>
      <c r="D9" s="127" t="s">
        <v>201</v>
      </c>
      <c r="E9" s="62" t="s">
        <v>178</v>
      </c>
      <c r="F9" s="128">
        <v>0</v>
      </c>
      <c r="G9" s="64">
        <v>0</v>
      </c>
      <c r="H9" s="133">
        <f t="shared" ref="H9" si="2">F9*G9</f>
        <v>0</v>
      </c>
      <c r="I9" s="132">
        <f t="shared" ref="I9" si="3">B9*H9</f>
        <v>0</v>
      </c>
    </row>
    <row r="10" spans="1:9" ht="26.4" x14ac:dyDescent="0.25">
      <c r="A10" s="134">
        <v>2</v>
      </c>
      <c r="B10" s="465">
        <f>B7</f>
        <v>102.2583762392437</v>
      </c>
      <c r="C10" s="135" t="s">
        <v>294</v>
      </c>
      <c r="D10" s="92" t="s">
        <v>303</v>
      </c>
      <c r="E10" s="62" t="s">
        <v>178</v>
      </c>
      <c r="F10" s="126">
        <f>F3/60</f>
        <v>0.53333333333333333</v>
      </c>
      <c r="G10" s="64">
        <v>2</v>
      </c>
      <c r="H10" s="57">
        <f>F10*G10</f>
        <v>1.0666666666666667</v>
      </c>
      <c r="I10" s="131">
        <f>H10*B10</f>
        <v>109.07560132185995</v>
      </c>
    </row>
    <row r="11" spans="1:9" x14ac:dyDescent="0.25">
      <c r="A11" s="119"/>
      <c r="B11" s="120"/>
      <c r="C11" s="120"/>
      <c r="D11" s="119"/>
      <c r="E11" s="121"/>
      <c r="F11" s="122"/>
      <c r="G11" s="122"/>
      <c r="H11" s="122"/>
      <c r="I11" s="119"/>
    </row>
    <row r="12" spans="1:9" x14ac:dyDescent="0.25">
      <c r="A12" s="81"/>
      <c r="B12" s="143"/>
      <c r="C12" s="143"/>
      <c r="D12" s="81"/>
      <c r="E12" s="144"/>
      <c r="F12" s="145"/>
      <c r="G12" s="145"/>
      <c r="H12" s="145"/>
      <c r="I12" s="81"/>
    </row>
    <row r="13" spans="1:9" x14ac:dyDescent="0.25">
      <c r="A13" s="81"/>
      <c r="B13" s="143"/>
      <c r="C13" s="143"/>
      <c r="D13" s="81"/>
      <c r="E13" s="144"/>
      <c r="F13" s="145"/>
      <c r="G13" s="145"/>
      <c r="H13" s="145"/>
      <c r="I13" s="81"/>
    </row>
    <row r="14" spans="1:9" x14ac:dyDescent="0.25">
      <c r="A14" s="81"/>
      <c r="B14" s="143"/>
      <c r="C14" s="143"/>
      <c r="D14" s="81"/>
      <c r="E14" s="144"/>
      <c r="F14" s="145"/>
      <c r="G14" s="145"/>
      <c r="H14" s="145"/>
      <c r="I14" s="81"/>
    </row>
    <row r="15" spans="1:9" ht="39.6" x14ac:dyDescent="0.25">
      <c r="A15" s="38" t="s">
        <v>4</v>
      </c>
      <c r="B15" s="68" t="s">
        <v>121</v>
      </c>
      <c r="C15" s="68" t="s">
        <v>118</v>
      </c>
      <c r="D15" s="38" t="s">
        <v>199</v>
      </c>
      <c r="E15" s="62" t="s">
        <v>118</v>
      </c>
      <c r="F15" s="69" t="s">
        <v>196</v>
      </c>
      <c r="G15" s="69" t="s">
        <v>124</v>
      </c>
      <c r="H15" s="69" t="s">
        <v>123</v>
      </c>
      <c r="I15" s="38" t="s">
        <v>63</v>
      </c>
    </row>
    <row r="16" spans="1:9" ht="26.4" x14ac:dyDescent="0.25">
      <c r="A16" s="94">
        <v>1</v>
      </c>
      <c r="B16" s="67">
        <v>10</v>
      </c>
      <c r="C16" s="118" t="s">
        <v>297</v>
      </c>
      <c r="D16" s="92" t="s">
        <v>154</v>
      </c>
      <c r="E16" s="62" t="s">
        <v>119</v>
      </c>
      <c r="F16" s="126">
        <f>F3</f>
        <v>32</v>
      </c>
      <c r="G16" s="64">
        <v>2</v>
      </c>
      <c r="H16" s="57">
        <f>F16*G16</f>
        <v>64</v>
      </c>
      <c r="I16" s="65">
        <f>H16*B16/100</f>
        <v>6.4</v>
      </c>
    </row>
    <row r="17" spans="1:9" ht="15.75" customHeight="1" x14ac:dyDescent="0.25">
      <c r="A17" s="94">
        <v>2</v>
      </c>
      <c r="B17" s="67">
        <v>4.2</v>
      </c>
      <c r="C17" s="118" t="s">
        <v>298</v>
      </c>
      <c r="D17" s="92" t="s">
        <v>153</v>
      </c>
      <c r="E17" s="62" t="s">
        <v>120</v>
      </c>
      <c r="F17" s="64"/>
      <c r="G17" s="64"/>
      <c r="H17" s="57">
        <f>F17*G17</f>
        <v>0</v>
      </c>
      <c r="I17" s="65">
        <f>H17*B17</f>
        <v>0</v>
      </c>
    </row>
    <row r="18" spans="1:9" x14ac:dyDescent="0.25">
      <c r="A18" s="94">
        <v>4</v>
      </c>
      <c r="B18" s="67">
        <v>50</v>
      </c>
      <c r="C18" s="118" t="s">
        <v>299</v>
      </c>
      <c r="D18" s="92" t="s">
        <v>194</v>
      </c>
      <c r="E18" s="62" t="s">
        <v>120</v>
      </c>
      <c r="F18" s="64"/>
      <c r="G18" s="70"/>
      <c r="H18" s="57"/>
      <c r="I18" s="65">
        <f t="shared" ref="I18:I26" si="4">B18*F18</f>
        <v>0</v>
      </c>
    </row>
    <row r="19" spans="1:9" x14ac:dyDescent="0.25">
      <c r="A19" s="94">
        <v>5</v>
      </c>
      <c r="B19" s="67">
        <v>3</v>
      </c>
      <c r="C19" s="118" t="s">
        <v>296</v>
      </c>
      <c r="D19" s="92" t="s">
        <v>195</v>
      </c>
      <c r="E19" s="62" t="s">
        <v>120</v>
      </c>
      <c r="F19" s="64"/>
      <c r="G19" s="70"/>
      <c r="H19" s="57"/>
      <c r="I19" s="65">
        <f t="shared" si="4"/>
        <v>0</v>
      </c>
    </row>
    <row r="20" spans="1:9" x14ac:dyDescent="0.25">
      <c r="A20" s="94">
        <v>6</v>
      </c>
      <c r="B20" s="67">
        <v>5</v>
      </c>
      <c r="C20" s="118" t="s">
        <v>296</v>
      </c>
      <c r="D20" s="92" t="s">
        <v>125</v>
      </c>
      <c r="E20" s="62" t="s">
        <v>120</v>
      </c>
      <c r="F20" s="64"/>
      <c r="G20" s="70"/>
      <c r="H20" s="57"/>
      <c r="I20" s="65">
        <f t="shared" si="4"/>
        <v>0</v>
      </c>
    </row>
    <row r="21" spans="1:9" x14ac:dyDescent="0.25">
      <c r="A21" s="94">
        <v>7</v>
      </c>
      <c r="B21" s="67">
        <v>18</v>
      </c>
      <c r="C21" s="118" t="s">
        <v>300</v>
      </c>
      <c r="D21" s="93" t="s">
        <v>60</v>
      </c>
      <c r="E21" s="62" t="s">
        <v>120</v>
      </c>
      <c r="F21" s="64"/>
      <c r="G21" s="70"/>
      <c r="H21" s="57"/>
      <c r="I21" s="65">
        <f t="shared" si="4"/>
        <v>0</v>
      </c>
    </row>
    <row r="22" spans="1:9" x14ac:dyDescent="0.25">
      <c r="A22" s="94">
        <v>8</v>
      </c>
      <c r="B22" s="67"/>
      <c r="C22" s="67"/>
      <c r="D22" s="93"/>
      <c r="E22" s="63"/>
      <c r="F22" s="66"/>
      <c r="G22" s="70"/>
      <c r="H22" s="57"/>
      <c r="I22" s="65">
        <f t="shared" si="4"/>
        <v>0</v>
      </c>
    </row>
    <row r="23" spans="1:9" x14ac:dyDescent="0.25">
      <c r="A23" s="94">
        <v>9</v>
      </c>
      <c r="B23" s="67"/>
      <c r="C23" s="67"/>
      <c r="D23" s="93"/>
      <c r="E23" s="63"/>
      <c r="F23" s="66"/>
      <c r="G23" s="70"/>
      <c r="H23" s="57"/>
      <c r="I23" s="65">
        <f t="shared" si="4"/>
        <v>0</v>
      </c>
    </row>
    <row r="24" spans="1:9" x14ac:dyDescent="0.25">
      <c r="A24" s="94">
        <v>10</v>
      </c>
      <c r="B24" s="67"/>
      <c r="C24" s="67"/>
      <c r="D24" s="93"/>
      <c r="E24" s="63"/>
      <c r="F24" s="66"/>
      <c r="G24" s="70"/>
      <c r="H24" s="57"/>
      <c r="I24" s="65">
        <f t="shared" si="4"/>
        <v>0</v>
      </c>
    </row>
    <row r="25" spans="1:9" x14ac:dyDescent="0.25">
      <c r="A25" s="94">
        <v>11</v>
      </c>
      <c r="B25" s="67"/>
      <c r="C25" s="67"/>
      <c r="D25" s="93"/>
      <c r="E25" s="63"/>
      <c r="F25" s="66"/>
      <c r="G25" s="70"/>
      <c r="H25" s="57"/>
      <c r="I25" s="65">
        <f t="shared" si="4"/>
        <v>0</v>
      </c>
    </row>
    <row r="26" spans="1:9" x14ac:dyDescent="0.25">
      <c r="A26" s="94">
        <v>12</v>
      </c>
      <c r="B26" s="67"/>
      <c r="C26" s="67"/>
      <c r="D26" s="93"/>
      <c r="E26" s="63"/>
      <c r="F26" s="66"/>
      <c r="G26" s="70"/>
      <c r="H26" s="57"/>
      <c r="I26" s="65">
        <f t="shared" si="4"/>
        <v>0</v>
      </c>
    </row>
    <row r="27" spans="1:9" x14ac:dyDescent="0.25">
      <c r="A27" s="58"/>
      <c r="B27" s="47"/>
      <c r="C27" s="47"/>
      <c r="D27" s="37" t="s">
        <v>59</v>
      </c>
      <c r="E27" s="47"/>
      <c r="F27" s="56"/>
      <c r="G27" s="59"/>
      <c r="H27" s="60"/>
      <c r="I27" s="61">
        <f>SUM(I16:I26)</f>
        <v>6.4</v>
      </c>
    </row>
  </sheetData>
  <mergeCells count="1">
    <mergeCell ref="A1:I1"/>
  </mergeCells>
  <pageMargins left="0.7" right="0.7" top="0.75" bottom="0.75" header="0.3" footer="0.3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53"/>
  <sheetViews>
    <sheetView topLeftCell="A10" workbookViewId="0">
      <selection activeCell="D32" sqref="D32"/>
    </sheetView>
  </sheetViews>
  <sheetFormatPr defaultRowHeight="13.2" x14ac:dyDescent="0.25"/>
  <cols>
    <col min="1" max="1" width="58.88671875" customWidth="1"/>
    <col min="2" max="2" width="8.5546875" bestFit="1" customWidth="1"/>
  </cols>
  <sheetData>
    <row r="1" spans="1:2" x14ac:dyDescent="0.25">
      <c r="A1" s="45" t="s">
        <v>86</v>
      </c>
      <c r="B1" s="50" t="s">
        <v>44</v>
      </c>
    </row>
    <row r="2" spans="1:2" x14ac:dyDescent="0.25">
      <c r="A2" s="46" t="s">
        <v>88</v>
      </c>
      <c r="B2" s="28">
        <v>0</v>
      </c>
    </row>
    <row r="3" spans="1:2" x14ac:dyDescent="0.25">
      <c r="A3" s="48" t="s">
        <v>89</v>
      </c>
      <c r="B3" s="28">
        <v>1.1499999999999999</v>
      </c>
    </row>
    <row r="4" spans="1:2" x14ac:dyDescent="0.25">
      <c r="A4" s="48" t="s">
        <v>90</v>
      </c>
      <c r="B4" s="28">
        <v>1.18</v>
      </c>
    </row>
    <row r="5" spans="1:2" x14ac:dyDescent="0.25">
      <c r="A5" s="48" t="s">
        <v>91</v>
      </c>
      <c r="B5" s="28">
        <v>1.2</v>
      </c>
    </row>
    <row r="6" spans="1:2" x14ac:dyDescent="0.25">
      <c r="A6" s="48" t="s">
        <v>92</v>
      </c>
      <c r="B6" s="28">
        <v>1.35</v>
      </c>
    </row>
    <row r="7" spans="1:2" x14ac:dyDescent="0.25">
      <c r="A7" s="48" t="s">
        <v>93</v>
      </c>
      <c r="B7" s="28">
        <v>1.5</v>
      </c>
    </row>
    <row r="8" spans="1:2" x14ac:dyDescent="0.25">
      <c r="A8" s="48" t="s">
        <v>94</v>
      </c>
      <c r="B8" s="28">
        <v>1.65</v>
      </c>
    </row>
    <row r="9" spans="1:2" x14ac:dyDescent="0.25">
      <c r="A9" s="48" t="s">
        <v>95</v>
      </c>
      <c r="B9" s="28">
        <v>1.5</v>
      </c>
    </row>
    <row r="10" spans="1:2" x14ac:dyDescent="0.25">
      <c r="A10" s="48" t="s">
        <v>96</v>
      </c>
      <c r="B10" s="28">
        <v>1.75</v>
      </c>
    </row>
    <row r="11" spans="1:2" x14ac:dyDescent="0.25">
      <c r="A11" s="48" t="s">
        <v>97</v>
      </c>
      <c r="B11" s="28">
        <v>2</v>
      </c>
    </row>
    <row r="12" spans="1:2" x14ac:dyDescent="0.25">
      <c r="A12" s="48" t="s">
        <v>98</v>
      </c>
      <c r="B12" s="28">
        <v>1.1000000000000001</v>
      </c>
    </row>
    <row r="13" spans="1:2" x14ac:dyDescent="0.25">
      <c r="A13" s="48" t="s">
        <v>136</v>
      </c>
      <c r="B13" s="28">
        <v>1.1000000000000001</v>
      </c>
    </row>
    <row r="14" spans="1:2" x14ac:dyDescent="0.25">
      <c r="A14" s="48" t="s">
        <v>99</v>
      </c>
      <c r="B14" s="28">
        <v>1.1000000000000001</v>
      </c>
    </row>
    <row r="15" spans="1:2" x14ac:dyDescent="0.25">
      <c r="A15" s="48" t="s">
        <v>100</v>
      </c>
      <c r="B15" s="28">
        <v>1.1000000000000001</v>
      </c>
    </row>
    <row r="16" spans="1:2" x14ac:dyDescent="0.25">
      <c r="A16" s="48" t="s">
        <v>135</v>
      </c>
      <c r="B16" s="28">
        <v>1.1499999999999999</v>
      </c>
    </row>
    <row r="17" spans="1:2" x14ac:dyDescent="0.25">
      <c r="A17" s="48" t="s">
        <v>101</v>
      </c>
      <c r="B17" s="28">
        <v>1.2</v>
      </c>
    </row>
    <row r="18" spans="1:2" x14ac:dyDescent="0.25">
      <c r="A18" s="48" t="s">
        <v>102</v>
      </c>
      <c r="B18" s="28">
        <v>1.1000000000000001</v>
      </c>
    </row>
    <row r="19" spans="1:2" x14ac:dyDescent="0.25">
      <c r="A19" s="48" t="s">
        <v>266</v>
      </c>
      <c r="B19" s="28">
        <v>1.3</v>
      </c>
    </row>
    <row r="20" spans="1:2" x14ac:dyDescent="0.25">
      <c r="A20" s="48" t="s">
        <v>103</v>
      </c>
      <c r="B20" s="28">
        <v>1.2</v>
      </c>
    </row>
    <row r="21" spans="1:2" x14ac:dyDescent="0.25">
      <c r="A21" s="48" t="s">
        <v>267</v>
      </c>
      <c r="B21" s="28">
        <v>1.5</v>
      </c>
    </row>
    <row r="22" spans="1:2" x14ac:dyDescent="0.25">
      <c r="A22" s="48" t="s">
        <v>268</v>
      </c>
      <c r="B22" s="28">
        <v>1.35</v>
      </c>
    </row>
    <row r="23" spans="1:2" x14ac:dyDescent="0.25">
      <c r="A23" s="48" t="s">
        <v>269</v>
      </c>
      <c r="B23" s="28">
        <v>1.2</v>
      </c>
    </row>
    <row r="24" spans="1:2" x14ac:dyDescent="0.25">
      <c r="A24" s="48" t="s">
        <v>270</v>
      </c>
      <c r="B24" s="28">
        <v>1.2</v>
      </c>
    </row>
    <row r="25" spans="1:2" x14ac:dyDescent="0.25">
      <c r="A25" s="48" t="s">
        <v>271</v>
      </c>
      <c r="B25" s="28">
        <v>2</v>
      </c>
    </row>
    <row r="26" spans="1:2" x14ac:dyDescent="0.25">
      <c r="A26" s="48" t="s">
        <v>104</v>
      </c>
      <c r="B26" s="28">
        <v>1.3</v>
      </c>
    </row>
    <row r="27" spans="1:2" x14ac:dyDescent="0.25">
      <c r="A27" s="48" t="s">
        <v>105</v>
      </c>
      <c r="B27" s="28">
        <v>1.3</v>
      </c>
    </row>
    <row r="28" spans="1:2" x14ac:dyDescent="0.25">
      <c r="A28" s="48" t="s">
        <v>272</v>
      </c>
      <c r="B28" s="28">
        <v>2</v>
      </c>
    </row>
    <row r="29" spans="1:2" x14ac:dyDescent="0.25">
      <c r="A29" s="48" t="s">
        <v>273</v>
      </c>
      <c r="B29" s="28">
        <v>1.5</v>
      </c>
    </row>
    <row r="30" spans="1:2" x14ac:dyDescent="0.25">
      <c r="A30" s="48" t="s">
        <v>274</v>
      </c>
      <c r="B30" s="28">
        <v>3</v>
      </c>
    </row>
    <row r="31" spans="1:2" x14ac:dyDescent="0.25">
      <c r="A31" s="48" t="s">
        <v>275</v>
      </c>
      <c r="B31" s="28">
        <v>1.5</v>
      </c>
    </row>
    <row r="32" spans="1:2" x14ac:dyDescent="0.25">
      <c r="A32" s="48" t="s">
        <v>276</v>
      </c>
      <c r="B32" s="28">
        <v>1.25</v>
      </c>
    </row>
    <row r="33" spans="1:2" x14ac:dyDescent="0.25">
      <c r="A33" s="48" t="s">
        <v>277</v>
      </c>
      <c r="B33" s="28">
        <v>1.5</v>
      </c>
    </row>
    <row r="34" spans="1:2" x14ac:dyDescent="0.25">
      <c r="A34" s="48" t="s">
        <v>278</v>
      </c>
      <c r="B34" s="28">
        <v>2</v>
      </c>
    </row>
    <row r="35" spans="1:2" x14ac:dyDescent="0.25">
      <c r="A35" s="48" t="s">
        <v>279</v>
      </c>
      <c r="B35" s="28">
        <v>1.2</v>
      </c>
    </row>
    <row r="48" spans="1:2" ht="29.25" customHeight="1" x14ac:dyDescent="0.25">
      <c r="A48" s="54" t="s">
        <v>82</v>
      </c>
      <c r="B48" s="50" t="s">
        <v>44</v>
      </c>
    </row>
    <row r="49" spans="1:2" x14ac:dyDescent="0.25">
      <c r="A49" s="55" t="s">
        <v>88</v>
      </c>
      <c r="B49" s="53">
        <v>0</v>
      </c>
    </row>
    <row r="50" spans="1:2" x14ac:dyDescent="0.25">
      <c r="A50" s="52" t="s">
        <v>112</v>
      </c>
      <c r="B50" s="53">
        <v>0.6</v>
      </c>
    </row>
    <row r="51" spans="1:2" x14ac:dyDescent="0.25">
      <c r="A51" s="51" t="s">
        <v>113</v>
      </c>
      <c r="B51" s="28">
        <v>0.75</v>
      </c>
    </row>
    <row r="52" spans="1:2" x14ac:dyDescent="0.25">
      <c r="A52" s="51" t="s">
        <v>137</v>
      </c>
      <c r="B52" s="28">
        <v>0.5</v>
      </c>
    </row>
    <row r="53" spans="1:2" x14ac:dyDescent="0.25">
      <c r="A53" s="51" t="s">
        <v>114</v>
      </c>
      <c r="B53" s="28">
        <v>0.4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49"/>
  <sheetViews>
    <sheetView workbookViewId="0">
      <selection activeCell="C9" sqref="C9"/>
    </sheetView>
  </sheetViews>
  <sheetFormatPr defaultRowHeight="13.2" x14ac:dyDescent="0.25"/>
  <cols>
    <col min="1" max="1" width="60" customWidth="1"/>
  </cols>
  <sheetData>
    <row r="1" spans="1:3" x14ac:dyDescent="0.25">
      <c r="A1" s="71" t="s">
        <v>265</v>
      </c>
    </row>
    <row r="2" spans="1:3" x14ac:dyDescent="0.25">
      <c r="A2" s="71"/>
    </row>
    <row r="3" spans="1:3" x14ac:dyDescent="0.25">
      <c r="A3" s="85" t="s">
        <v>85</v>
      </c>
    </row>
    <row r="4" spans="1:3" ht="40.799999999999997" x14ac:dyDescent="0.25">
      <c r="A4" s="338" t="s">
        <v>256</v>
      </c>
      <c r="B4" s="335">
        <v>1</v>
      </c>
      <c r="C4" s="332"/>
    </row>
    <row r="5" spans="1:3" ht="31.2" x14ac:dyDescent="0.25">
      <c r="A5" s="336" t="s">
        <v>243</v>
      </c>
      <c r="B5" s="335">
        <v>2</v>
      </c>
      <c r="C5" s="332"/>
    </row>
    <row r="6" spans="1:3" ht="41.4" x14ac:dyDescent="0.25">
      <c r="A6" s="336" t="s">
        <v>244</v>
      </c>
      <c r="B6" s="335">
        <v>3</v>
      </c>
      <c r="C6" s="332"/>
    </row>
    <row r="7" spans="1:3" x14ac:dyDescent="0.25">
      <c r="A7" s="337" t="s">
        <v>246</v>
      </c>
      <c r="B7" s="335">
        <v>4</v>
      </c>
      <c r="C7" s="332"/>
    </row>
    <row r="8" spans="1:3" ht="21" x14ac:dyDescent="0.25">
      <c r="A8" s="337" t="s">
        <v>245</v>
      </c>
      <c r="B8" s="335">
        <v>5</v>
      </c>
      <c r="C8" s="332"/>
    </row>
    <row r="9" spans="1:3" ht="102" x14ac:dyDescent="0.25">
      <c r="A9" s="338" t="s">
        <v>284</v>
      </c>
      <c r="B9" s="335">
        <v>6</v>
      </c>
      <c r="C9" s="332"/>
    </row>
    <row r="10" spans="1:3" ht="21" x14ac:dyDescent="0.25">
      <c r="A10" s="337" t="s">
        <v>247</v>
      </c>
      <c r="B10" s="335">
        <v>7</v>
      </c>
      <c r="C10" s="332"/>
    </row>
    <row r="11" spans="1:3" ht="51.6" x14ac:dyDescent="0.25">
      <c r="A11" s="336" t="s">
        <v>249</v>
      </c>
      <c r="B11" s="335">
        <v>10</v>
      </c>
      <c r="C11" s="332"/>
    </row>
    <row r="12" spans="1:3" ht="51.6" x14ac:dyDescent="0.25">
      <c r="A12" s="336" t="s">
        <v>250</v>
      </c>
      <c r="B12" s="335">
        <v>14</v>
      </c>
      <c r="C12" s="332"/>
    </row>
    <row r="13" spans="1:3" ht="21" x14ac:dyDescent="0.25">
      <c r="A13" s="336" t="s">
        <v>251</v>
      </c>
      <c r="B13" s="335" t="s">
        <v>248</v>
      </c>
      <c r="C13" s="332"/>
    </row>
    <row r="14" spans="1:3" ht="41.4" x14ac:dyDescent="0.25">
      <c r="A14" s="336" t="s">
        <v>252</v>
      </c>
      <c r="B14" s="335">
        <v>15</v>
      </c>
      <c r="C14" s="332"/>
    </row>
    <row r="15" spans="1:3" ht="31.2" x14ac:dyDescent="0.25">
      <c r="A15" s="336" t="s">
        <v>253</v>
      </c>
      <c r="B15" s="335">
        <v>16</v>
      </c>
      <c r="C15" s="332"/>
    </row>
    <row r="16" spans="1:3" ht="20.399999999999999" x14ac:dyDescent="0.25">
      <c r="A16" s="338" t="s">
        <v>255</v>
      </c>
      <c r="B16" s="335">
        <v>17</v>
      </c>
      <c r="C16" s="332"/>
    </row>
    <row r="17" spans="1:3" ht="51" x14ac:dyDescent="0.25">
      <c r="A17" s="338" t="s">
        <v>254</v>
      </c>
      <c r="B17" s="335">
        <v>18</v>
      </c>
      <c r="C17" s="332"/>
    </row>
    <row r="18" spans="1:3" x14ac:dyDescent="0.25">
      <c r="A18" s="90"/>
      <c r="B18" s="333"/>
    </row>
    <row r="19" spans="1:3" x14ac:dyDescent="0.25">
      <c r="A19" s="90"/>
      <c r="B19" s="333"/>
    </row>
    <row r="20" spans="1:3" x14ac:dyDescent="0.25">
      <c r="B20" s="333"/>
    </row>
    <row r="21" spans="1:3" x14ac:dyDescent="0.25">
      <c r="A21" s="72" t="s">
        <v>264</v>
      </c>
      <c r="B21" s="333"/>
    </row>
    <row r="22" spans="1:3" x14ac:dyDescent="0.25">
      <c r="A22" s="91" t="s">
        <v>85</v>
      </c>
      <c r="B22" s="333"/>
    </row>
    <row r="23" spans="1:3" x14ac:dyDescent="0.25">
      <c r="A23" s="346" t="s">
        <v>139</v>
      </c>
      <c r="B23" s="333"/>
    </row>
    <row r="24" spans="1:3" x14ac:dyDescent="0.25">
      <c r="A24" s="346" t="s">
        <v>115</v>
      </c>
      <c r="B24" s="333"/>
    </row>
    <row r="25" spans="1:3" x14ac:dyDescent="0.25">
      <c r="A25" s="346" t="s">
        <v>144</v>
      </c>
      <c r="B25" s="333"/>
    </row>
    <row r="26" spans="1:3" x14ac:dyDescent="0.25">
      <c r="A26" s="346" t="s">
        <v>145</v>
      </c>
      <c r="B26" s="333"/>
    </row>
    <row r="27" spans="1:3" x14ac:dyDescent="0.25">
      <c r="A27" s="346" t="s">
        <v>146</v>
      </c>
      <c r="B27" s="333"/>
    </row>
    <row r="28" spans="1:3" x14ac:dyDescent="0.25">
      <c r="A28" s="346" t="s">
        <v>150</v>
      </c>
      <c r="B28" s="333"/>
    </row>
    <row r="29" spans="1:3" x14ac:dyDescent="0.25">
      <c r="A29" s="346" t="s">
        <v>261</v>
      </c>
      <c r="B29" s="333"/>
    </row>
    <row r="30" spans="1:3" x14ac:dyDescent="0.25">
      <c r="A30" s="346" t="s">
        <v>262</v>
      </c>
      <c r="B30" s="333"/>
    </row>
    <row r="31" spans="1:3" x14ac:dyDescent="0.25">
      <c r="A31" s="346" t="s">
        <v>5</v>
      </c>
      <c r="B31" s="333"/>
    </row>
    <row r="32" spans="1:3" x14ac:dyDescent="0.25">
      <c r="A32" s="346" t="s">
        <v>116</v>
      </c>
      <c r="B32" s="333"/>
    </row>
    <row r="33" spans="1:1" x14ac:dyDescent="0.25">
      <c r="A33" s="346" t="s">
        <v>138</v>
      </c>
    </row>
    <row r="34" spans="1:1" x14ac:dyDescent="0.25">
      <c r="A34" s="346" t="s">
        <v>140</v>
      </c>
    </row>
    <row r="35" spans="1:1" x14ac:dyDescent="0.25">
      <c r="A35" s="346" t="s">
        <v>263</v>
      </c>
    </row>
    <row r="36" spans="1:1" x14ac:dyDescent="0.25">
      <c r="A36" s="346" t="s">
        <v>141</v>
      </c>
    </row>
    <row r="37" spans="1:1" x14ac:dyDescent="0.25">
      <c r="A37" s="346" t="s">
        <v>142</v>
      </c>
    </row>
    <row r="38" spans="1:1" x14ac:dyDescent="0.25">
      <c r="A38" s="346" t="s">
        <v>143</v>
      </c>
    </row>
    <row r="39" spans="1:1" x14ac:dyDescent="0.25">
      <c r="A39" s="346" t="s">
        <v>7</v>
      </c>
    </row>
    <row r="40" spans="1:1" x14ac:dyDescent="0.25">
      <c r="A40" s="346" t="s">
        <v>260</v>
      </c>
    </row>
    <row r="41" spans="1:1" x14ac:dyDescent="0.25">
      <c r="A41" s="346" t="s">
        <v>147</v>
      </c>
    </row>
    <row r="42" spans="1:1" ht="20.399999999999999" x14ac:dyDescent="0.25">
      <c r="A42" s="346" t="s">
        <v>148</v>
      </c>
    </row>
    <row r="43" spans="1:1" x14ac:dyDescent="0.25">
      <c r="A43" s="346" t="s">
        <v>149</v>
      </c>
    </row>
    <row r="44" spans="1:1" x14ac:dyDescent="0.25">
      <c r="A44" s="346" t="s">
        <v>57</v>
      </c>
    </row>
    <row r="45" spans="1:1" x14ac:dyDescent="0.25">
      <c r="A45" s="346" t="s">
        <v>151</v>
      </c>
    </row>
    <row r="46" spans="1:1" ht="13.8" x14ac:dyDescent="0.25">
      <c r="A46" s="347"/>
    </row>
    <row r="47" spans="1:1" ht="13.8" x14ac:dyDescent="0.3">
      <c r="A47" s="348"/>
    </row>
    <row r="48" spans="1:1" ht="13.8" x14ac:dyDescent="0.3">
      <c r="A48" s="348"/>
    </row>
    <row r="49" spans="1:1" ht="13.8" x14ac:dyDescent="0.3">
      <c r="A49" s="334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96"/>
  <sheetViews>
    <sheetView topLeftCell="A19" zoomScale="70" zoomScaleNormal="70" workbookViewId="0">
      <selection activeCell="B30" sqref="B30"/>
    </sheetView>
  </sheetViews>
  <sheetFormatPr defaultRowHeight="13.2" x14ac:dyDescent="0.25"/>
  <cols>
    <col min="1" max="1" width="9.109375" style="1"/>
    <col min="2" max="2" width="71.44140625" customWidth="1"/>
    <col min="3" max="3" width="8.44140625" customWidth="1"/>
    <col min="5" max="5" width="12.5546875" bestFit="1" customWidth="1"/>
    <col min="7" max="7" width="12.6640625" customWidth="1"/>
    <col min="8" max="8" width="16.6640625" customWidth="1"/>
    <col min="10" max="10" width="37.33203125" bestFit="1" customWidth="1"/>
  </cols>
  <sheetData>
    <row r="1" spans="1:4" ht="23.25" customHeight="1" thickBot="1" x14ac:dyDescent="0.35">
      <c r="B1" s="13" t="s">
        <v>23</v>
      </c>
    </row>
    <row r="2" spans="1:4" ht="31.8" thickBot="1" x14ac:dyDescent="0.35">
      <c r="A2" s="349" t="s">
        <v>4</v>
      </c>
      <c r="B2" s="350" t="s">
        <v>24</v>
      </c>
      <c r="C2" s="351" t="s">
        <v>286</v>
      </c>
      <c r="D2" s="352" t="s">
        <v>285</v>
      </c>
    </row>
    <row r="3" spans="1:4" ht="19.95" customHeight="1" x14ac:dyDescent="0.25">
      <c r="A3" s="353">
        <v>1</v>
      </c>
      <c r="B3" s="354" t="s">
        <v>10</v>
      </c>
      <c r="C3" s="354">
        <v>200</v>
      </c>
      <c r="D3" s="355" t="s">
        <v>217</v>
      </c>
    </row>
    <row r="4" spans="1:4" ht="19.95" customHeight="1" x14ac:dyDescent="0.25">
      <c r="A4" s="356">
        <v>2</v>
      </c>
      <c r="B4" s="357" t="s">
        <v>76</v>
      </c>
      <c r="C4" s="358">
        <v>230</v>
      </c>
      <c r="D4" s="359" t="s">
        <v>217</v>
      </c>
    </row>
    <row r="5" spans="1:4" ht="19.95" customHeight="1" x14ac:dyDescent="0.25">
      <c r="A5" s="356">
        <v>3</v>
      </c>
      <c r="B5" s="357" t="s">
        <v>132</v>
      </c>
      <c r="C5" s="358">
        <v>460</v>
      </c>
      <c r="D5" s="359" t="s">
        <v>217</v>
      </c>
    </row>
    <row r="6" spans="1:4" ht="19.95" customHeight="1" x14ac:dyDescent="0.25">
      <c r="A6" s="356">
        <v>4</v>
      </c>
      <c r="B6" s="358" t="s">
        <v>11</v>
      </c>
      <c r="C6" s="358">
        <v>170</v>
      </c>
      <c r="D6" s="359" t="s">
        <v>217</v>
      </c>
    </row>
    <row r="7" spans="1:4" ht="19.95" customHeight="1" x14ac:dyDescent="0.25">
      <c r="A7" s="356">
        <v>5</v>
      </c>
      <c r="B7" s="358" t="s">
        <v>12</v>
      </c>
      <c r="C7" s="358">
        <v>200</v>
      </c>
      <c r="D7" s="359" t="s">
        <v>217</v>
      </c>
    </row>
    <row r="8" spans="1:4" ht="19.95" customHeight="1" x14ac:dyDescent="0.25">
      <c r="A8" s="356">
        <v>6</v>
      </c>
      <c r="B8" s="358" t="s">
        <v>13</v>
      </c>
      <c r="C8" s="358">
        <v>200</v>
      </c>
      <c r="D8" s="359" t="s">
        <v>217</v>
      </c>
    </row>
    <row r="9" spans="1:4" ht="19.95" customHeight="1" x14ac:dyDescent="0.25">
      <c r="A9" s="356">
        <v>7</v>
      </c>
      <c r="B9" s="358" t="s">
        <v>14</v>
      </c>
      <c r="C9" s="358">
        <v>230</v>
      </c>
      <c r="D9" s="359" t="s">
        <v>217</v>
      </c>
    </row>
    <row r="10" spans="1:4" ht="19.95" customHeight="1" x14ac:dyDescent="0.25">
      <c r="A10" s="356">
        <v>8</v>
      </c>
      <c r="B10" s="358" t="s">
        <v>15</v>
      </c>
      <c r="C10" s="358">
        <v>250</v>
      </c>
      <c r="D10" s="359" t="s">
        <v>217</v>
      </c>
    </row>
    <row r="11" spans="1:4" ht="19.95" customHeight="1" x14ac:dyDescent="0.25">
      <c r="A11" s="356">
        <v>9</v>
      </c>
      <c r="B11" s="358" t="s">
        <v>16</v>
      </c>
      <c r="C11" s="358">
        <v>250</v>
      </c>
      <c r="D11" s="359" t="s">
        <v>217</v>
      </c>
    </row>
    <row r="12" spans="1:4" ht="19.95" customHeight="1" x14ac:dyDescent="0.25">
      <c r="A12" s="356">
        <v>10</v>
      </c>
      <c r="B12" s="358" t="s">
        <v>213</v>
      </c>
      <c r="C12" s="358">
        <v>2700</v>
      </c>
      <c r="D12" s="359" t="s">
        <v>72</v>
      </c>
    </row>
    <row r="13" spans="1:4" ht="19.95" customHeight="1" x14ac:dyDescent="0.25">
      <c r="A13" s="356">
        <v>11</v>
      </c>
      <c r="B13" s="358" t="s">
        <v>19</v>
      </c>
      <c r="C13" s="358">
        <v>320</v>
      </c>
      <c r="D13" s="359" t="s">
        <v>217</v>
      </c>
    </row>
    <row r="14" spans="1:4" ht="19.95" customHeight="1" x14ac:dyDescent="0.25">
      <c r="A14" s="356">
        <v>12</v>
      </c>
      <c r="B14" s="358" t="s">
        <v>20</v>
      </c>
      <c r="C14" s="358">
        <v>200</v>
      </c>
      <c r="D14" s="359" t="s">
        <v>217</v>
      </c>
    </row>
    <row r="15" spans="1:4" ht="19.95" customHeight="1" x14ac:dyDescent="0.25">
      <c r="A15" s="356">
        <v>13</v>
      </c>
      <c r="B15" s="358" t="s">
        <v>21</v>
      </c>
      <c r="C15" s="358">
        <v>2370</v>
      </c>
      <c r="D15" s="359" t="s">
        <v>217</v>
      </c>
    </row>
    <row r="16" spans="1:4" ht="19.95" customHeight="1" x14ac:dyDescent="0.25">
      <c r="A16" s="356">
        <v>14</v>
      </c>
      <c r="B16" s="358" t="s">
        <v>214</v>
      </c>
      <c r="C16" s="358">
        <v>300</v>
      </c>
      <c r="D16" s="359" t="s">
        <v>77</v>
      </c>
    </row>
    <row r="17" spans="1:11" ht="19.95" customHeight="1" x14ac:dyDescent="0.25">
      <c r="A17" s="356">
        <v>15</v>
      </c>
      <c r="B17" s="358" t="s">
        <v>215</v>
      </c>
      <c r="C17" s="358">
        <v>150</v>
      </c>
      <c r="D17" s="359" t="s">
        <v>72</v>
      </c>
    </row>
    <row r="18" spans="1:11" ht="19.95" customHeight="1" x14ac:dyDescent="0.25">
      <c r="A18" s="356">
        <v>16</v>
      </c>
      <c r="B18" s="358" t="s">
        <v>133</v>
      </c>
      <c r="C18" s="358">
        <v>280</v>
      </c>
      <c r="D18" s="359" t="s">
        <v>217</v>
      </c>
    </row>
    <row r="19" spans="1:11" ht="19.95" customHeight="1" thickBot="1" x14ac:dyDescent="0.3">
      <c r="A19" s="360">
        <v>17</v>
      </c>
      <c r="B19" s="361" t="s">
        <v>134</v>
      </c>
      <c r="C19" s="361">
        <v>400</v>
      </c>
      <c r="D19" s="362" t="s">
        <v>217</v>
      </c>
    </row>
    <row r="20" spans="1:11" ht="13.8" thickBot="1" x14ac:dyDescent="0.3"/>
    <row r="21" spans="1:11" ht="13.8" thickBot="1" x14ac:dyDescent="0.3">
      <c r="A21" s="461" t="s">
        <v>58</v>
      </c>
      <c r="B21" s="462"/>
      <c r="C21" s="463"/>
    </row>
    <row r="22" spans="1:11" ht="13.8" thickBot="1" x14ac:dyDescent="0.3"/>
    <row r="23" spans="1:11" x14ac:dyDescent="0.25">
      <c r="B23" s="2" t="s">
        <v>26</v>
      </c>
    </row>
    <row r="24" spans="1:11" x14ac:dyDescent="0.25">
      <c r="B24" s="3" t="s">
        <v>27</v>
      </c>
    </row>
    <row r="25" spans="1:11" x14ac:dyDescent="0.25">
      <c r="B25" s="3" t="s">
        <v>28</v>
      </c>
    </row>
    <row r="26" spans="1:11" x14ac:dyDescent="0.25">
      <c r="B26" s="3" t="s">
        <v>29</v>
      </c>
    </row>
    <row r="27" spans="1:11" ht="13.8" thickBot="1" x14ac:dyDescent="0.3">
      <c r="B27" s="4" t="s">
        <v>30</v>
      </c>
    </row>
    <row r="30" spans="1:11" ht="17.399999999999999" x14ac:dyDescent="0.3">
      <c r="B30" s="13" t="s">
        <v>152</v>
      </c>
      <c r="C30" s="40"/>
      <c r="K30" s="40"/>
    </row>
    <row r="31" spans="1:11" ht="13.8" thickBot="1" x14ac:dyDescent="0.3"/>
    <row r="32" spans="1:11" ht="13.8" thickBot="1" x14ac:dyDescent="0.3">
      <c r="A32" s="21" t="s">
        <v>4</v>
      </c>
      <c r="B32" s="21" t="s">
        <v>63</v>
      </c>
      <c r="C32" s="461" t="s">
        <v>65</v>
      </c>
      <c r="D32" s="462"/>
      <c r="E32" s="462"/>
      <c r="F32" s="462"/>
      <c r="G32" s="463"/>
      <c r="I32" s="81"/>
      <c r="J32" s="81"/>
    </row>
    <row r="33" spans="1:10" ht="13.8" thickBot="1" x14ac:dyDescent="0.3">
      <c r="A33" s="261" t="s">
        <v>64</v>
      </c>
      <c r="B33" s="261" t="s">
        <v>239</v>
      </c>
      <c r="C33" s="262">
        <v>5</v>
      </c>
      <c r="D33" s="262">
        <v>4</v>
      </c>
      <c r="E33" s="262">
        <v>3</v>
      </c>
      <c r="F33" s="262">
        <v>2</v>
      </c>
      <c r="G33" s="262">
        <v>1</v>
      </c>
      <c r="I33" s="81"/>
      <c r="J33" s="81"/>
    </row>
    <row r="34" spans="1:10" x14ac:dyDescent="0.25">
      <c r="A34" s="263">
        <v>1</v>
      </c>
      <c r="B34" s="264">
        <v>0</v>
      </c>
      <c r="C34" s="265">
        <v>4</v>
      </c>
      <c r="D34" s="265">
        <v>4.1900000000000004</v>
      </c>
      <c r="E34" s="266">
        <v>4.4000000000000004</v>
      </c>
      <c r="F34" s="265">
        <v>4.62</v>
      </c>
      <c r="G34" s="267">
        <v>4.84</v>
      </c>
      <c r="I34" s="82"/>
      <c r="J34" s="83"/>
    </row>
    <row r="35" spans="1:10" x14ac:dyDescent="0.25">
      <c r="A35" s="268">
        <v>2</v>
      </c>
      <c r="B35" s="259">
        <v>25000</v>
      </c>
      <c r="C35" s="257">
        <v>3.73</v>
      </c>
      <c r="D35" s="257">
        <v>3.9</v>
      </c>
      <c r="E35" s="28">
        <v>4.0999999999999996</v>
      </c>
      <c r="F35" s="257">
        <v>4.3099999999999996</v>
      </c>
      <c r="G35" s="269">
        <v>4.51</v>
      </c>
      <c r="J35" s="84"/>
    </row>
    <row r="36" spans="1:10" x14ac:dyDescent="0.25">
      <c r="A36" s="270">
        <v>3</v>
      </c>
      <c r="B36" s="259">
        <v>50000</v>
      </c>
      <c r="C36" s="257">
        <v>3.5</v>
      </c>
      <c r="D36" s="257">
        <v>3.67</v>
      </c>
      <c r="E36" s="258">
        <v>3.85</v>
      </c>
      <c r="F36" s="257">
        <v>4.04</v>
      </c>
      <c r="G36" s="269">
        <v>4.24</v>
      </c>
      <c r="J36" s="84"/>
    </row>
    <row r="37" spans="1:10" x14ac:dyDescent="0.25">
      <c r="A37" s="268">
        <v>4</v>
      </c>
      <c r="B37" s="259">
        <v>75000</v>
      </c>
      <c r="C37" s="257">
        <v>3.32</v>
      </c>
      <c r="D37" s="257">
        <v>3.48</v>
      </c>
      <c r="E37" s="28">
        <v>3.65</v>
      </c>
      <c r="F37" s="257">
        <v>3.83</v>
      </c>
      <c r="G37" s="269">
        <v>4.0199999999999996</v>
      </c>
      <c r="J37" s="84"/>
    </row>
    <row r="38" spans="1:10" x14ac:dyDescent="0.25">
      <c r="A38" s="268">
        <v>5</v>
      </c>
      <c r="B38" s="259">
        <v>100000</v>
      </c>
      <c r="C38" s="257">
        <v>3.16</v>
      </c>
      <c r="D38" s="257">
        <v>3.31</v>
      </c>
      <c r="E38" s="258">
        <v>3.48</v>
      </c>
      <c r="F38" s="257">
        <v>3.65</v>
      </c>
      <c r="G38" s="269">
        <v>3.83</v>
      </c>
      <c r="J38" s="84"/>
    </row>
    <row r="39" spans="1:10" x14ac:dyDescent="0.25">
      <c r="A39" s="270">
        <v>6</v>
      </c>
      <c r="B39" s="259">
        <v>125000</v>
      </c>
      <c r="C39" s="257">
        <v>3</v>
      </c>
      <c r="D39" s="257">
        <v>3.14</v>
      </c>
      <c r="E39" s="28">
        <v>3.3</v>
      </c>
      <c r="F39" s="257">
        <v>3.47</v>
      </c>
      <c r="G39" s="269">
        <v>3.63</v>
      </c>
      <c r="J39" s="84"/>
    </row>
    <row r="40" spans="1:10" x14ac:dyDescent="0.25">
      <c r="A40" s="268">
        <v>7</v>
      </c>
      <c r="B40" s="259">
        <v>150000</v>
      </c>
      <c r="C40" s="257">
        <v>2.86</v>
      </c>
      <c r="D40" s="257">
        <v>3</v>
      </c>
      <c r="E40" s="258">
        <v>3.15</v>
      </c>
      <c r="F40" s="257">
        <v>3.31</v>
      </c>
      <c r="G40" s="269">
        <v>3.47</v>
      </c>
      <c r="J40" s="84"/>
    </row>
    <row r="41" spans="1:10" x14ac:dyDescent="0.25">
      <c r="A41" s="268">
        <v>8</v>
      </c>
      <c r="B41" s="259">
        <v>175000</v>
      </c>
      <c r="C41" s="257">
        <v>2.75</v>
      </c>
      <c r="D41" s="257">
        <v>2.89</v>
      </c>
      <c r="E41" s="28">
        <v>3.03</v>
      </c>
      <c r="F41" s="257">
        <v>3.18</v>
      </c>
      <c r="G41" s="269">
        <v>3.33</v>
      </c>
      <c r="J41" s="84"/>
    </row>
    <row r="42" spans="1:10" x14ac:dyDescent="0.25">
      <c r="A42" s="270">
        <v>9</v>
      </c>
      <c r="B42" s="259">
        <v>200000</v>
      </c>
      <c r="C42" s="257">
        <v>2.64</v>
      </c>
      <c r="D42" s="257">
        <v>2.76</v>
      </c>
      <c r="E42" s="258">
        <v>2.9</v>
      </c>
      <c r="F42" s="257">
        <v>3.05</v>
      </c>
      <c r="G42" s="269">
        <v>3.19</v>
      </c>
      <c r="J42" s="84"/>
    </row>
    <row r="43" spans="1:10" x14ac:dyDescent="0.25">
      <c r="A43" s="268">
        <v>10</v>
      </c>
      <c r="B43" s="259">
        <v>225000</v>
      </c>
      <c r="C43" s="257">
        <v>2.5499999999999998</v>
      </c>
      <c r="D43" s="257">
        <v>2.67</v>
      </c>
      <c r="E43" s="28">
        <v>2.8</v>
      </c>
      <c r="F43" s="257">
        <v>2.94</v>
      </c>
      <c r="G43" s="269">
        <v>3.08</v>
      </c>
      <c r="J43" s="84"/>
    </row>
    <row r="44" spans="1:10" x14ac:dyDescent="0.25">
      <c r="A44" s="268">
        <v>11</v>
      </c>
      <c r="B44" s="259">
        <v>250000</v>
      </c>
      <c r="C44" s="257">
        <v>2.4500000000000002</v>
      </c>
      <c r="D44" s="257">
        <v>2.57</v>
      </c>
      <c r="E44" s="258">
        <v>2.7</v>
      </c>
      <c r="F44" s="257">
        <v>2.84</v>
      </c>
      <c r="G44" s="269">
        <v>2.97</v>
      </c>
      <c r="J44" s="84"/>
    </row>
    <row r="45" spans="1:10" x14ac:dyDescent="0.25">
      <c r="A45" s="270">
        <v>12</v>
      </c>
      <c r="B45" s="259">
        <v>500000</v>
      </c>
      <c r="C45" s="257">
        <v>2.36</v>
      </c>
      <c r="D45" s="257">
        <v>2.48</v>
      </c>
      <c r="E45" s="28">
        <v>2.6</v>
      </c>
      <c r="F45" s="257">
        <v>2.73</v>
      </c>
      <c r="G45" s="269">
        <v>2.86</v>
      </c>
      <c r="J45" s="84"/>
    </row>
    <row r="46" spans="1:10" x14ac:dyDescent="0.25">
      <c r="A46" s="268">
        <v>13</v>
      </c>
      <c r="B46" s="259">
        <v>750000</v>
      </c>
      <c r="C46" s="257">
        <v>2.27</v>
      </c>
      <c r="D46" s="257">
        <v>2.38</v>
      </c>
      <c r="E46" s="258">
        <v>2.5</v>
      </c>
      <c r="F46" s="257">
        <v>2.63</v>
      </c>
      <c r="G46" s="269">
        <v>2.75</v>
      </c>
      <c r="J46" s="84"/>
    </row>
    <row r="47" spans="1:10" x14ac:dyDescent="0.25">
      <c r="A47" s="268">
        <v>14</v>
      </c>
      <c r="B47" s="259">
        <v>1000000</v>
      </c>
      <c r="C47" s="257">
        <v>2.17</v>
      </c>
      <c r="D47" s="257">
        <v>2.2799999999999998</v>
      </c>
      <c r="E47" s="28">
        <v>2.39</v>
      </c>
      <c r="F47" s="257">
        <v>2.5099999999999998</v>
      </c>
      <c r="G47" s="269">
        <v>2.63</v>
      </c>
      <c r="J47" s="84"/>
    </row>
    <row r="48" spans="1:10" x14ac:dyDescent="0.25">
      <c r="A48" s="270">
        <v>15</v>
      </c>
      <c r="B48" s="259">
        <v>1250000</v>
      </c>
      <c r="C48" s="257">
        <v>2.09</v>
      </c>
      <c r="D48" s="257">
        <v>2.19</v>
      </c>
      <c r="E48" s="258">
        <v>2.2999999999999998</v>
      </c>
      <c r="F48" s="257">
        <v>2.42</v>
      </c>
      <c r="G48" s="269">
        <v>2.5299999999999998</v>
      </c>
      <c r="J48" s="84"/>
    </row>
    <row r="49" spans="1:10" x14ac:dyDescent="0.25">
      <c r="A49" s="268">
        <v>16</v>
      </c>
      <c r="B49" s="259">
        <v>1875000</v>
      </c>
      <c r="C49" s="257">
        <v>2</v>
      </c>
      <c r="D49" s="257">
        <v>2.1</v>
      </c>
      <c r="E49" s="28">
        <v>2.2000000000000002</v>
      </c>
      <c r="F49" s="257">
        <v>2.31</v>
      </c>
      <c r="G49" s="269">
        <v>2.42</v>
      </c>
      <c r="J49" s="84"/>
    </row>
    <row r="50" spans="1:10" x14ac:dyDescent="0.25">
      <c r="A50" s="268">
        <v>17</v>
      </c>
      <c r="B50" s="259">
        <v>2500000</v>
      </c>
      <c r="C50" s="257">
        <v>1.91</v>
      </c>
      <c r="D50" s="257">
        <v>2</v>
      </c>
      <c r="E50" s="258">
        <v>2.1</v>
      </c>
      <c r="F50" s="257">
        <v>2.21</v>
      </c>
      <c r="G50" s="269">
        <v>2.31</v>
      </c>
      <c r="J50" s="84"/>
    </row>
    <row r="51" spans="1:10" x14ac:dyDescent="0.25">
      <c r="A51" s="270">
        <v>18</v>
      </c>
      <c r="B51" s="259">
        <v>3750000</v>
      </c>
      <c r="C51" s="257">
        <v>1.84</v>
      </c>
      <c r="D51" s="257">
        <v>1.92</v>
      </c>
      <c r="E51" s="28">
        <v>2.02</v>
      </c>
      <c r="F51" s="257">
        <v>2.12</v>
      </c>
      <c r="G51" s="269">
        <v>2.2200000000000002</v>
      </c>
      <c r="J51" s="84"/>
    </row>
    <row r="52" spans="1:10" x14ac:dyDescent="0.25">
      <c r="A52" s="268">
        <v>19</v>
      </c>
      <c r="B52" s="259">
        <v>5000000</v>
      </c>
      <c r="C52" s="257">
        <v>1.75</v>
      </c>
      <c r="D52" s="257">
        <v>1.84</v>
      </c>
      <c r="E52" s="258">
        <v>1.93</v>
      </c>
      <c r="F52" s="257">
        <v>2.0299999999999998</v>
      </c>
      <c r="G52" s="269">
        <v>2.12</v>
      </c>
      <c r="J52" s="84"/>
    </row>
    <row r="53" spans="1:10" x14ac:dyDescent="0.25">
      <c r="A53" s="268">
        <v>20</v>
      </c>
      <c r="B53" s="259">
        <v>7500000</v>
      </c>
      <c r="C53" s="257">
        <v>1.66</v>
      </c>
      <c r="D53" s="257">
        <v>1.74</v>
      </c>
      <c r="E53" s="28">
        <v>1.83</v>
      </c>
      <c r="F53" s="257">
        <v>1.92</v>
      </c>
      <c r="G53" s="269">
        <v>2.0099999999999998</v>
      </c>
      <c r="J53" s="84"/>
    </row>
    <row r="54" spans="1:10" x14ac:dyDescent="0.25">
      <c r="A54" s="270">
        <v>21</v>
      </c>
      <c r="B54" s="259">
        <v>12500000</v>
      </c>
      <c r="C54" s="257">
        <v>1.59</v>
      </c>
      <c r="D54" s="257">
        <v>1.67</v>
      </c>
      <c r="E54" s="258">
        <v>1.75</v>
      </c>
      <c r="F54" s="257">
        <v>1.84</v>
      </c>
      <c r="G54" s="269">
        <v>1.93</v>
      </c>
      <c r="J54" s="84"/>
    </row>
    <row r="55" spans="1:10" x14ac:dyDescent="0.25">
      <c r="A55" s="268">
        <v>22</v>
      </c>
      <c r="B55" s="259">
        <v>18750000</v>
      </c>
      <c r="C55" s="257">
        <v>1.51</v>
      </c>
      <c r="D55" s="257">
        <v>1.58</v>
      </c>
      <c r="E55" s="28">
        <v>1.66</v>
      </c>
      <c r="F55" s="257">
        <v>1.74</v>
      </c>
      <c r="G55" s="269">
        <v>1.83</v>
      </c>
      <c r="J55" s="84"/>
    </row>
    <row r="56" spans="1:10" x14ac:dyDescent="0.25">
      <c r="A56" s="268">
        <v>23</v>
      </c>
      <c r="B56" s="259">
        <v>25000000</v>
      </c>
      <c r="C56" s="257">
        <v>1.43</v>
      </c>
      <c r="D56" s="257">
        <v>1.5</v>
      </c>
      <c r="E56" s="258">
        <v>1.57</v>
      </c>
      <c r="F56" s="257">
        <v>1.65</v>
      </c>
      <c r="G56" s="269">
        <v>1.73</v>
      </c>
      <c r="J56" s="84"/>
    </row>
    <row r="57" spans="1:10" ht="13.8" thickBot="1" x14ac:dyDescent="0.3">
      <c r="A57" s="271"/>
      <c r="B57" s="272"/>
      <c r="C57" s="273"/>
      <c r="D57" s="273"/>
      <c r="E57" s="273"/>
      <c r="F57" s="273"/>
      <c r="G57" s="274"/>
      <c r="I57" s="82"/>
      <c r="J57" s="84"/>
    </row>
    <row r="58" spans="1:10" x14ac:dyDescent="0.25">
      <c r="B58" s="84"/>
      <c r="C58" s="256"/>
      <c r="D58" s="256"/>
      <c r="E58" s="256"/>
      <c r="F58" s="256"/>
      <c r="G58" s="256"/>
      <c r="I58" s="1"/>
      <c r="J58" s="84"/>
    </row>
    <row r="59" spans="1:10" x14ac:dyDescent="0.25">
      <c r="B59" s="84"/>
      <c r="C59" s="256"/>
      <c r="D59" s="256"/>
      <c r="E59" s="256"/>
      <c r="F59" s="256"/>
      <c r="G59" s="256"/>
      <c r="I59" s="1"/>
      <c r="J59" s="84"/>
    </row>
    <row r="60" spans="1:10" x14ac:dyDescent="0.25">
      <c r="A60" s="82"/>
      <c r="B60" s="84"/>
      <c r="C60" s="256"/>
      <c r="D60" s="256"/>
      <c r="E60" s="256"/>
      <c r="F60" s="256"/>
      <c r="G60" s="256"/>
      <c r="I60" s="82"/>
      <c r="J60" s="84"/>
    </row>
    <row r="61" spans="1:10" x14ac:dyDescent="0.25">
      <c r="B61" s="84"/>
      <c r="C61" s="256"/>
      <c r="D61" s="256"/>
      <c r="E61" s="256"/>
      <c r="F61" s="256"/>
      <c r="G61" s="256"/>
      <c r="I61" s="1"/>
      <c r="J61" s="84"/>
    </row>
    <row r="62" spans="1:10" x14ac:dyDescent="0.25">
      <c r="B62" s="84"/>
      <c r="C62" s="256"/>
      <c r="D62" s="256"/>
      <c r="E62" s="256"/>
      <c r="F62" s="256"/>
      <c r="G62" s="256"/>
      <c r="I62" s="1"/>
      <c r="J62" s="84"/>
    </row>
    <row r="63" spans="1:10" x14ac:dyDescent="0.25">
      <c r="A63" s="82"/>
      <c r="B63" s="84"/>
      <c r="C63" s="256"/>
      <c r="D63" s="256"/>
      <c r="E63" s="256"/>
      <c r="F63" s="256"/>
      <c r="G63" s="256"/>
      <c r="I63" s="82"/>
      <c r="J63" s="84"/>
    </row>
    <row r="64" spans="1:10" x14ac:dyDescent="0.25">
      <c r="B64" s="84"/>
      <c r="C64" s="256"/>
      <c r="D64" s="256"/>
      <c r="E64" s="256"/>
      <c r="F64" s="256"/>
      <c r="G64" s="256"/>
      <c r="I64" s="1"/>
      <c r="J64" s="84"/>
    </row>
    <row r="65" spans="1:10" x14ac:dyDescent="0.25">
      <c r="B65" s="84"/>
      <c r="C65" s="256"/>
      <c r="D65" s="1"/>
      <c r="E65" s="1"/>
      <c r="F65" s="1"/>
      <c r="G65" s="256"/>
      <c r="I65" s="1"/>
      <c r="J65" s="84"/>
    </row>
    <row r="66" spans="1:10" x14ac:dyDescent="0.25">
      <c r="A66" s="82"/>
      <c r="B66" s="84"/>
      <c r="C66" s="256"/>
      <c r="D66" s="1"/>
      <c r="E66" s="1"/>
      <c r="F66" s="1"/>
      <c r="G66" s="256"/>
      <c r="I66" s="82"/>
      <c r="J66" s="84"/>
    </row>
    <row r="67" spans="1:10" x14ac:dyDescent="0.25">
      <c r="B67" s="84"/>
      <c r="C67" s="256"/>
      <c r="D67" s="1"/>
      <c r="E67" s="1"/>
      <c r="F67" s="1"/>
      <c r="G67" s="256"/>
      <c r="I67" s="1"/>
      <c r="J67" s="84"/>
    </row>
    <row r="68" spans="1:10" x14ac:dyDescent="0.25">
      <c r="B68" s="84"/>
      <c r="C68" s="256"/>
      <c r="D68" s="1"/>
      <c r="E68" s="1"/>
      <c r="F68" s="1"/>
      <c r="G68" s="256"/>
      <c r="I68" s="1"/>
      <c r="J68" s="84"/>
    </row>
    <row r="69" spans="1:10" x14ac:dyDescent="0.25">
      <c r="A69" s="82"/>
      <c r="B69" s="84"/>
      <c r="C69" s="256"/>
      <c r="D69" s="1"/>
      <c r="E69" s="1"/>
      <c r="F69" s="1"/>
      <c r="G69" s="256"/>
      <c r="I69" s="82"/>
      <c r="J69" s="84"/>
    </row>
    <row r="70" spans="1:10" x14ac:dyDescent="0.25">
      <c r="B70" s="84"/>
      <c r="C70" s="256"/>
      <c r="D70" s="1"/>
      <c r="E70" s="1"/>
      <c r="F70" s="1"/>
      <c r="G70" s="256"/>
      <c r="I70" s="1"/>
      <c r="J70" s="84"/>
    </row>
    <row r="71" spans="1:10" x14ac:dyDescent="0.25">
      <c r="B71" s="84"/>
      <c r="C71" s="256"/>
      <c r="D71" s="1"/>
      <c r="E71" s="1"/>
      <c r="F71" s="1"/>
      <c r="G71" s="256"/>
      <c r="I71" s="1"/>
      <c r="J71" s="84"/>
    </row>
    <row r="72" spans="1:10" x14ac:dyDescent="0.25">
      <c r="A72" s="82"/>
      <c r="B72" s="84"/>
      <c r="C72" s="256"/>
      <c r="D72" s="1"/>
      <c r="E72" s="1"/>
      <c r="F72" s="1"/>
      <c r="G72" s="256"/>
      <c r="I72" s="82"/>
      <c r="J72" s="84"/>
    </row>
    <row r="73" spans="1:10" x14ac:dyDescent="0.25">
      <c r="B73" s="84"/>
      <c r="C73" s="256"/>
      <c r="D73" s="1"/>
      <c r="E73" s="1"/>
      <c r="F73" s="1"/>
      <c r="G73" s="256"/>
      <c r="I73" s="1"/>
      <c r="J73" s="84"/>
    </row>
    <row r="74" spans="1:10" x14ac:dyDescent="0.25">
      <c r="B74" s="84"/>
      <c r="C74" s="256"/>
      <c r="D74" s="1"/>
      <c r="E74" s="1"/>
      <c r="F74" s="1"/>
      <c r="G74" s="256"/>
      <c r="I74" s="1"/>
      <c r="J74" s="84"/>
    </row>
    <row r="80" spans="1:10" ht="18" thickBot="1" x14ac:dyDescent="0.3">
      <c r="A80"/>
      <c r="B80" s="41" t="s">
        <v>131</v>
      </c>
    </row>
    <row r="81" spans="1:4" ht="13.8" thickBot="1" x14ac:dyDescent="0.3">
      <c r="A81" s="21" t="s">
        <v>4</v>
      </c>
      <c r="B81" s="22" t="s">
        <v>24</v>
      </c>
      <c r="C81" s="21" t="s">
        <v>8</v>
      </c>
      <c r="D81" s="23" t="s">
        <v>71</v>
      </c>
    </row>
    <row r="82" spans="1:4" x14ac:dyDescent="0.25">
      <c r="A82" s="5"/>
      <c r="B82" s="2" t="s">
        <v>10</v>
      </c>
      <c r="C82" s="10">
        <v>260</v>
      </c>
      <c r="D82" s="10">
        <v>180</v>
      </c>
    </row>
    <row r="83" spans="1:4" x14ac:dyDescent="0.25">
      <c r="A83" s="6"/>
      <c r="B83" s="36" t="s">
        <v>76</v>
      </c>
      <c r="C83" s="11">
        <v>300</v>
      </c>
      <c r="D83" s="11">
        <v>200</v>
      </c>
    </row>
    <row r="84" spans="1:4" x14ac:dyDescent="0.25">
      <c r="A84" s="6"/>
      <c r="B84" s="3" t="s">
        <v>11</v>
      </c>
      <c r="C84" s="11">
        <v>220</v>
      </c>
      <c r="D84" s="11">
        <v>145</v>
      </c>
    </row>
    <row r="85" spans="1:4" x14ac:dyDescent="0.25">
      <c r="A85" s="6"/>
      <c r="B85" s="3" t="s">
        <v>15</v>
      </c>
      <c r="C85" s="11">
        <v>320</v>
      </c>
      <c r="D85" s="11">
        <v>200</v>
      </c>
    </row>
    <row r="86" spans="1:4" x14ac:dyDescent="0.25">
      <c r="A86" s="6"/>
      <c r="B86" s="3" t="s">
        <v>16</v>
      </c>
      <c r="C86" s="11">
        <v>320</v>
      </c>
      <c r="D86" s="11">
        <v>200</v>
      </c>
    </row>
    <row r="87" spans="1:4" x14ac:dyDescent="0.25">
      <c r="A87" s="6"/>
      <c r="B87" s="3" t="s">
        <v>19</v>
      </c>
      <c r="C87" s="11">
        <v>400</v>
      </c>
      <c r="D87" s="11">
        <v>275</v>
      </c>
    </row>
    <row r="88" spans="1:4" x14ac:dyDescent="0.25">
      <c r="A88" s="6"/>
      <c r="B88" s="3" t="s">
        <v>20</v>
      </c>
      <c r="C88" s="11">
        <v>250</v>
      </c>
      <c r="D88" s="11">
        <v>165</v>
      </c>
    </row>
    <row r="89" spans="1:4" x14ac:dyDescent="0.25">
      <c r="A89" s="6"/>
      <c r="B89" s="3" t="s">
        <v>21</v>
      </c>
      <c r="C89" s="11">
        <v>2200</v>
      </c>
      <c r="D89" s="11">
        <v>1650</v>
      </c>
    </row>
    <row r="90" spans="1:4" x14ac:dyDescent="0.25">
      <c r="A90" s="95"/>
      <c r="B90" s="96" t="s">
        <v>14</v>
      </c>
      <c r="C90" s="97">
        <v>300</v>
      </c>
      <c r="D90" s="97">
        <v>200</v>
      </c>
    </row>
    <row r="91" spans="1:4" x14ac:dyDescent="0.25">
      <c r="A91" s="6"/>
      <c r="B91" s="17" t="s">
        <v>12</v>
      </c>
      <c r="C91" s="11">
        <v>250</v>
      </c>
      <c r="D91" s="11">
        <v>165</v>
      </c>
    </row>
    <row r="92" spans="1:4" x14ac:dyDescent="0.25">
      <c r="A92" s="6"/>
      <c r="B92" s="17" t="s">
        <v>13</v>
      </c>
      <c r="C92" s="11">
        <v>250</v>
      </c>
      <c r="D92" s="11">
        <v>165</v>
      </c>
    </row>
    <row r="93" spans="1:4" x14ac:dyDescent="0.25">
      <c r="A93" s="6"/>
      <c r="B93" s="17" t="s">
        <v>17</v>
      </c>
      <c r="C93" s="11">
        <v>3500</v>
      </c>
      <c r="D93" s="11">
        <v>2700</v>
      </c>
    </row>
    <row r="94" spans="1:4" x14ac:dyDescent="0.25">
      <c r="A94" s="6"/>
      <c r="B94" s="17" t="s">
        <v>22</v>
      </c>
      <c r="C94" s="11">
        <v>380</v>
      </c>
      <c r="D94" s="11">
        <v>250</v>
      </c>
    </row>
    <row r="95" spans="1:4" ht="13.8" thickBot="1" x14ac:dyDescent="0.3">
      <c r="A95" s="7"/>
      <c r="B95" s="18"/>
      <c r="C95" s="12"/>
      <c r="D95" s="11"/>
    </row>
    <row r="96" spans="1:4" ht="13.8" thickBot="1" x14ac:dyDescent="0.3">
      <c r="A96" s="19"/>
      <c r="B96" s="20"/>
      <c r="C96" s="14" t="s">
        <v>18</v>
      </c>
      <c r="D96" s="14" t="s">
        <v>18</v>
      </c>
    </row>
  </sheetData>
  <mergeCells count="2">
    <mergeCell ref="A21:C21"/>
    <mergeCell ref="C32:G32"/>
  </mergeCells>
  <phoneticPr fontId="0" type="noConversion"/>
  <printOptions horizontalCentered="1"/>
  <pageMargins left="0.39370078740157483" right="0.39370078740157483" top="0.78740157480314965" bottom="0.59055118110236227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Хонорар СМЕТКА</vt:lpstr>
      <vt:lpstr>Sheet1</vt:lpstr>
      <vt:lpstr>Сметка за АН</vt:lpstr>
      <vt:lpstr>Доп_разходи</vt:lpstr>
      <vt:lpstr>Коефициенти</vt:lpstr>
      <vt:lpstr>Проектни решения и Други</vt:lpstr>
      <vt:lpstr>DataHon</vt:lpstr>
    </vt:vector>
  </TitlesOfParts>
  <Company>RPS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Atanas Todorov</dc:creator>
  <cp:lastModifiedBy>Atanas Todorov</cp:lastModifiedBy>
  <cp:lastPrinted>2026-01-29T11:41:58Z</cp:lastPrinted>
  <dcterms:created xsi:type="dcterms:W3CDTF">2005-03-23T05:34:34Z</dcterms:created>
  <dcterms:modified xsi:type="dcterms:W3CDTF">2026-01-29T12:11:51Z</dcterms:modified>
</cp:coreProperties>
</file>